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240" yWindow="75" windowWidth="11475" windowHeight="6480"/>
  </bookViews>
  <sheets>
    <sheet name="отчет" sheetId="7" r:id="rId1"/>
    <sheet name="списки" sheetId="6" r:id="rId2"/>
    <sheet name="ввод" sheetId="1" r:id="rId3"/>
    <sheet name="контроль" sheetId="5" r:id="rId4"/>
    <sheet name="вычисления" sheetId="4" r:id="rId5"/>
    <sheet name="Об авторе" sheetId="10" r:id="rId6"/>
  </sheets>
  <definedNames>
    <definedName name="db">ввод!$F$4:$AK$22</definedName>
    <definedName name="Max">вычисления!$C$14</definedName>
    <definedName name="Min">вычисления!$C$15</definedName>
    <definedName name="ввод_периоды">ввод!$F$2:$AK$3</definedName>
    <definedName name="делители">ввод!$C$4:$C$22</definedName>
    <definedName name="ЕдИзм">ввод!$B$4:$B$22</definedName>
    <definedName name="зебра">вычисления!$C$13</definedName>
    <definedName name="план">вычисления!$C$17</definedName>
    <definedName name="ПланФакт">ввод!$D$4:$D$22</definedName>
    <definedName name="показатель">ввод!$A$4:$A$22</definedName>
    <definedName name="тек_период">вычисления!$E$9</definedName>
    <definedName name="факт">вычисления!$C$16</definedName>
  </definedNames>
  <calcPr calcId="125725" iterate="1"/>
</workbook>
</file>

<file path=xl/calcChain.xml><?xml version="1.0" encoding="utf-8"?>
<calcChain xmlns="http://schemas.openxmlformats.org/spreadsheetml/2006/main">
  <c r="F14" i="1"/>
  <c r="G14"/>
  <c r="H14"/>
  <c r="I14"/>
  <c r="J14"/>
  <c r="K14"/>
  <c r="L14"/>
  <c r="M14"/>
  <c r="N14"/>
  <c r="O14"/>
  <c r="P14"/>
  <c r="Q14"/>
  <c r="R14"/>
  <c r="S14"/>
  <c r="T14"/>
  <c r="U14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F11"/>
  <c r="G11"/>
  <c r="H11"/>
  <c r="I11"/>
  <c r="J11"/>
  <c r="K11"/>
  <c r="L11"/>
  <c r="M11"/>
  <c r="N11"/>
  <c r="O11"/>
  <c r="P11"/>
  <c r="Q11"/>
  <c r="R11"/>
  <c r="S11"/>
  <c r="T11"/>
  <c r="U11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K14" i="7" l="1"/>
  <c r="F16" i="4" l="1"/>
  <c r="G16"/>
  <c r="H16"/>
  <c r="I16"/>
  <c r="J16"/>
  <c r="K16"/>
  <c r="L16"/>
  <c r="M16"/>
  <c r="N16"/>
  <c r="O16"/>
  <c r="P16"/>
  <c r="Q16"/>
  <c r="R16"/>
  <c r="F17"/>
  <c r="G17"/>
  <c r="H17"/>
  <c r="I17"/>
  <c r="J17"/>
  <c r="K17"/>
  <c r="L17"/>
  <c r="M17"/>
  <c r="N17"/>
  <c r="O17"/>
  <c r="P17"/>
  <c r="Q17"/>
  <c r="R17"/>
  <c r="R15"/>
  <c r="Q15"/>
  <c r="P15"/>
  <c r="O15"/>
  <c r="N15"/>
  <c r="M15"/>
  <c r="L15"/>
  <c r="K15"/>
  <c r="J15"/>
  <c r="I15"/>
  <c r="H15"/>
  <c r="G15"/>
  <c r="F15"/>
  <c r="F14"/>
  <c r="G14"/>
  <c r="H14"/>
  <c r="I14"/>
  <c r="J14"/>
  <c r="K14"/>
  <c r="L14"/>
  <c r="M14"/>
  <c r="N14"/>
  <c r="O14"/>
  <c r="P14"/>
  <c r="Q14"/>
  <c r="R14"/>
  <c r="R13"/>
  <c r="Q13"/>
  <c r="P13"/>
  <c r="O13"/>
  <c r="N13"/>
  <c r="M13"/>
  <c r="L13"/>
  <c r="K13"/>
  <c r="J13"/>
  <c r="I13"/>
  <c r="H13"/>
  <c r="G13"/>
  <c r="F13"/>
  <c r="C51"/>
  <c r="R51"/>
  <c r="C41"/>
  <c r="R41"/>
  <c r="F51" l="1"/>
  <c r="H51"/>
  <c r="J51"/>
  <c r="F41"/>
  <c r="H41"/>
  <c r="J41"/>
  <c r="C31"/>
  <c r="R31"/>
  <c r="R21"/>
  <c r="F9"/>
  <c r="G9"/>
  <c r="H9"/>
  <c r="I9"/>
  <c r="J9"/>
  <c r="K9"/>
  <c r="L9"/>
  <c r="M9"/>
  <c r="N9"/>
  <c r="O9"/>
  <c r="P9"/>
  <c r="Q9"/>
  <c r="R9"/>
  <c r="C21"/>
  <c r="O54" l="1"/>
  <c r="G54"/>
  <c r="L44"/>
  <c r="K44"/>
  <c r="M44"/>
  <c r="I44"/>
  <c r="Q44"/>
  <c r="M54"/>
  <c r="G44"/>
  <c r="O44"/>
  <c r="P5"/>
  <c r="P7" s="1"/>
  <c r="P53"/>
  <c r="P43"/>
  <c r="H5"/>
  <c r="H7" s="1"/>
  <c r="H53"/>
  <c r="H43"/>
  <c r="R5"/>
  <c r="R53"/>
  <c r="R43"/>
  <c r="N5"/>
  <c r="N7" s="1"/>
  <c r="N53"/>
  <c r="N43"/>
  <c r="F5"/>
  <c r="F53"/>
  <c r="F43"/>
  <c r="L54"/>
  <c r="J44"/>
  <c r="F54"/>
  <c r="P44"/>
  <c r="Q4"/>
  <c r="Q53"/>
  <c r="Q43"/>
  <c r="M4"/>
  <c r="M53"/>
  <c r="M43"/>
  <c r="I4"/>
  <c r="I53"/>
  <c r="I43"/>
  <c r="H54"/>
  <c r="F44"/>
  <c r="K54"/>
  <c r="I54"/>
  <c r="N54"/>
  <c r="L5"/>
  <c r="L7" s="1"/>
  <c r="L53"/>
  <c r="L43"/>
  <c r="R44"/>
  <c r="J54"/>
  <c r="O5"/>
  <c r="O7" s="1"/>
  <c r="O43"/>
  <c r="O53"/>
  <c r="K5"/>
  <c r="K7" s="1"/>
  <c r="K43"/>
  <c r="K53"/>
  <c r="G5"/>
  <c r="G7" s="1"/>
  <c r="G53"/>
  <c r="G43"/>
  <c r="P54"/>
  <c r="N44"/>
  <c r="Q54"/>
  <c r="R54"/>
  <c r="H44"/>
  <c r="J5"/>
  <c r="J7" s="1"/>
  <c r="J53"/>
  <c r="J43"/>
  <c r="L51"/>
  <c r="L41"/>
  <c r="H31"/>
  <c r="F31"/>
  <c r="J31"/>
  <c r="R34" s="1"/>
  <c r="P4"/>
  <c r="L4"/>
  <c r="H4"/>
  <c r="Q5"/>
  <c r="Q7" s="1"/>
  <c r="M5"/>
  <c r="M7" s="1"/>
  <c r="I5"/>
  <c r="I7" s="1"/>
  <c r="O4"/>
  <c r="K4"/>
  <c r="G4"/>
  <c r="R4"/>
  <c r="N4"/>
  <c r="J4"/>
  <c r="F4"/>
  <c r="F21"/>
  <c r="H21"/>
  <c r="J21"/>
  <c r="G24" s="1"/>
  <c r="O34" l="1"/>
  <c r="H34"/>
  <c r="F6"/>
  <c r="F7" s="1"/>
  <c r="H6"/>
  <c r="G33"/>
  <c r="G34"/>
  <c r="I34"/>
  <c r="O6"/>
  <c r="L34"/>
  <c r="N34"/>
  <c r="L33"/>
  <c r="F33"/>
  <c r="N33"/>
  <c r="R33"/>
  <c r="Q34"/>
  <c r="J33"/>
  <c r="K34"/>
  <c r="K33"/>
  <c r="O33"/>
  <c r="P34"/>
  <c r="F34"/>
  <c r="H33"/>
  <c r="P33"/>
  <c r="M34"/>
  <c r="I33"/>
  <c r="M33"/>
  <c r="Q33"/>
  <c r="J34"/>
  <c r="O23"/>
  <c r="N24"/>
  <c r="M23"/>
  <c r="H24"/>
  <c r="F23"/>
  <c r="I24"/>
  <c r="Q23"/>
  <c r="L24"/>
  <c r="K24"/>
  <c r="H23"/>
  <c r="J23"/>
  <c r="R23"/>
  <c r="P23"/>
  <c r="J24"/>
  <c r="Q24"/>
  <c r="L23"/>
  <c r="P24"/>
  <c r="R24"/>
  <c r="F24"/>
  <c r="N23"/>
  <c r="O24"/>
  <c r="M24"/>
  <c r="G23"/>
  <c r="K23"/>
  <c r="I23"/>
  <c r="L6"/>
  <c r="G46"/>
  <c r="G47"/>
  <c r="P47"/>
  <c r="P46"/>
  <c r="L57"/>
  <c r="L56"/>
  <c r="O46"/>
  <c r="O47"/>
  <c r="L47"/>
  <c r="L46"/>
  <c r="K46"/>
  <c r="K47"/>
  <c r="R56"/>
  <c r="R57"/>
  <c r="Q56"/>
  <c r="Q57"/>
  <c r="I47"/>
  <c r="I46"/>
  <c r="M47"/>
  <c r="M46"/>
  <c r="O56"/>
  <c r="O57"/>
  <c r="P57"/>
  <c r="P56"/>
  <c r="F47"/>
  <c r="F46"/>
  <c r="G56"/>
  <c r="G57"/>
  <c r="J57"/>
  <c r="J56"/>
  <c r="N46"/>
  <c r="N47"/>
  <c r="J46"/>
  <c r="J47"/>
  <c r="Q46"/>
  <c r="Q47"/>
  <c r="I57"/>
  <c r="I56"/>
  <c r="H57"/>
  <c r="H56"/>
  <c r="M56"/>
  <c r="M57"/>
  <c r="H47"/>
  <c r="H46"/>
  <c r="R46"/>
  <c r="R47"/>
  <c r="F57"/>
  <c r="F56"/>
  <c r="K56"/>
  <c r="K57"/>
  <c r="N56"/>
  <c r="N57"/>
  <c r="P41"/>
  <c r="O41"/>
  <c r="N41"/>
  <c r="P51"/>
  <c r="O51"/>
  <c r="P50"/>
  <c r="N51"/>
  <c r="O50"/>
  <c r="N50"/>
  <c r="P40"/>
  <c r="O40"/>
  <c r="N40"/>
  <c r="L31"/>
  <c r="L21"/>
  <c r="M6"/>
  <c r="J6"/>
  <c r="G6"/>
  <c r="R6"/>
  <c r="R7" s="1"/>
  <c r="P6"/>
  <c r="Q6"/>
  <c r="N6"/>
  <c r="K6"/>
  <c r="I6"/>
  <c r="L37" l="1"/>
  <c r="L36"/>
  <c r="H36"/>
  <c r="H37"/>
  <c r="K27"/>
  <c r="K26"/>
  <c r="P27"/>
  <c r="P26"/>
  <c r="I27"/>
  <c r="I26"/>
  <c r="Q37"/>
  <c r="Q36"/>
  <c r="O37"/>
  <c r="O36"/>
  <c r="N36"/>
  <c r="N37"/>
  <c r="P37"/>
  <c r="P36"/>
  <c r="I37"/>
  <c r="I36"/>
  <c r="J27"/>
  <c r="J26"/>
  <c r="F27"/>
  <c r="F26"/>
  <c r="G27"/>
  <c r="G26"/>
  <c r="N27"/>
  <c r="N26"/>
  <c r="H27"/>
  <c r="H26"/>
  <c r="F37"/>
  <c r="F36"/>
  <c r="K37"/>
  <c r="K36"/>
  <c r="M27"/>
  <c r="M26"/>
  <c r="J36"/>
  <c r="J37"/>
  <c r="Q27"/>
  <c r="Q26"/>
  <c r="R27"/>
  <c r="R26"/>
  <c r="L26"/>
  <c r="L27"/>
  <c r="O26"/>
  <c r="O27"/>
  <c r="G37"/>
  <c r="G36"/>
  <c r="R36"/>
  <c r="R37"/>
  <c r="M37"/>
  <c r="M36"/>
  <c r="N21"/>
  <c r="P21"/>
  <c r="O21"/>
  <c r="P31"/>
  <c r="O31"/>
  <c r="N31"/>
  <c r="Q50"/>
  <c r="Q51"/>
  <c r="Q40"/>
  <c r="Q41"/>
  <c r="O30"/>
  <c r="N30"/>
  <c r="P30"/>
  <c r="P20"/>
  <c r="O20"/>
  <c r="N20"/>
  <c r="Q30" l="1"/>
  <c r="Q31"/>
  <c r="Q20"/>
  <c r="Q21"/>
</calcChain>
</file>

<file path=xl/sharedStrings.xml><?xml version="1.0" encoding="utf-8"?>
<sst xmlns="http://schemas.openxmlformats.org/spreadsheetml/2006/main" count="172" uniqueCount="73">
  <si>
    <t>показатель</t>
  </si>
  <si>
    <t>ед изм</t>
  </si>
  <si>
    <t>делитель</t>
  </si>
  <si>
    <t>факт</t>
  </si>
  <si>
    <t>план</t>
  </si>
  <si>
    <t>дополнительно</t>
  </si>
  <si>
    <t>максимум от факта</t>
  </si>
  <si>
    <t>минимум от факта</t>
  </si>
  <si>
    <t>зебра</t>
  </si>
  <si>
    <t>min/max</t>
  </si>
  <si>
    <t>год</t>
  </si>
  <si>
    <t>выручка</t>
  </si>
  <si>
    <t>руб.</t>
  </si>
  <si>
    <t>Списки</t>
  </si>
  <si>
    <t>детали</t>
  </si>
  <si>
    <t>%</t>
  </si>
  <si>
    <t>месяц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</si>
  <si>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</si>
  <si>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</si>
  <si>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</si>
  <si>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</si>
  <si>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</si>
  <si>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</si>
  <si>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</si>
  <si>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</si>
  <si>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</si>
  <si>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</si>
  <si>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</si>
  <si>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</si>
  <si>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даты</t>
  </si>
  <si>
    <t>общее</t>
  </si>
  <si>
    <t>месяц+год</t>
  </si>
  <si>
    <t>показывать максимумы</t>
  </si>
  <si>
    <t>показывать минимумы</t>
  </si>
  <si>
    <t>Ось X сопоставить с</t>
  </si>
  <si>
    <t>номер</t>
  </si>
  <si>
    <t>ось</t>
  </si>
  <si>
    <t>заголовок</t>
  </si>
  <si>
    <t>г</t>
  </si>
  <si>
    <t>подпись</t>
  </si>
  <si>
    <t>откл +</t>
  </si>
  <si>
    <t>откл -</t>
  </si>
  <si>
    <t>п</t>
  </si>
  <si>
    <t>м</t>
  </si>
  <si>
    <t>Управление макетом</t>
  </si>
  <si>
    <t>Управление элементами</t>
  </si>
  <si>
    <t>Вертикальная зебра</t>
  </si>
  <si>
    <t>Максимумы</t>
  </si>
  <si>
    <t>Минимумы</t>
  </si>
  <si>
    <t>показвать факт</t>
  </si>
  <si>
    <t>показвать план</t>
  </si>
  <si>
    <t>показывать план</t>
  </si>
  <si>
    <t>показывать факт</t>
  </si>
  <si>
    <t>Файл подготовлен руководителем</t>
  </si>
  <si>
    <t>Консультационной группы Finalytics.PRO</t>
  </si>
  <si>
    <t>Салостей Станиславом</t>
  </si>
  <si>
    <t>Finalytics.PRO занимается созданием интерактивных</t>
  </si>
  <si>
    <t>аналитических отчетов для финансистов и</t>
  </si>
  <si>
    <t>руководителей на платформе Power BI.</t>
  </si>
  <si>
    <t xml:space="preserve">Преимущество таких отчетов: </t>
  </si>
  <si>
    <t>наглядность, доступность, всегда онлайн.</t>
  </si>
  <si>
    <t>Мы таже проводим корпоративное обучение</t>
  </si>
  <si>
    <t>работе с Excel и Power BI.</t>
  </si>
  <si>
    <t>По всем вопросам обращайтесь:</t>
  </si>
  <si>
    <t>SalosteySV@finalytics.pro</t>
  </si>
  <si>
    <t>+7 913 388 7176</t>
  </si>
  <si>
    <t>www.finalytics.pro</t>
  </si>
  <si>
    <t>www.vk.com/finalytics</t>
  </si>
  <si>
    <t>расходы</t>
  </si>
  <si>
    <t>прибыль</t>
  </si>
  <si>
    <t>рентабельность</t>
  </si>
  <si>
    <t>EBITDA</t>
  </si>
  <si>
    <t>Панель KPI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</si>
</sst>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 tint="0.34998626667073579"/>
      <name val="Impact"/>
      <family val="2"/>
      <charset val="204"/>
    </font>
    <font>
      <sz val="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0" xfId="0" applyFont="1" applyFill="1"/>
    <xf numFmtId="0" fontId="0" fillId="0" borderId="2" xfId="0" applyBorder="1"/>
    <xf numFmtId="0" fontId="0" fillId="0" borderId="1" xfId="0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right"/>
    </xf>
    <xf numFmtId="0" fontId="1" fillId="0" borderId="0" xfId="0" applyFont="1" applyBorder="1"/>
    <xf numFmtId="0" fontId="1" fillId="2" borderId="0" xfId="0" applyFont="1" applyFill="1" applyBorder="1"/>
    <xf numFmtId="4" fontId="1" fillId="0" borderId="0" xfId="0" applyNumberFormat="1" applyFont="1" applyBorder="1"/>
    <xf numFmtId="4" fontId="1" fillId="2" borderId="0" xfId="0" applyNumberFormat="1" applyFont="1" applyFill="1" applyBorder="1"/>
    <xf numFmtId="0" fontId="1" fillId="0" borderId="3" xfId="0" applyFont="1" applyBorder="1"/>
    <xf numFmtId="0" fontId="1" fillId="2" borderId="3" xfId="0" applyFont="1" applyFill="1" applyBorder="1"/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3" borderId="0" xfId="0" applyFont="1" applyFill="1"/>
    <xf numFmtId="1" fontId="3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center"/>
    </xf>
    <xf numFmtId="0" fontId="4" fillId="0" borderId="0" xfId="0" applyFont="1"/>
    <xf numFmtId="14" fontId="4" fillId="0" borderId="4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0" xfId="0" applyFont="1" applyAlignment="1">
      <alignment horizontal="right"/>
    </xf>
    <xf numFmtId="0" fontId="4" fillId="0" borderId="6" xfId="0" applyFont="1" applyBorder="1"/>
    <xf numFmtId="0" fontId="4" fillId="0" borderId="4" xfId="0" applyFont="1" applyBorder="1" applyAlignment="1">
      <alignment horizontal="right"/>
    </xf>
    <xf numFmtId="0" fontId="4" fillId="2" borderId="7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 applyAlignment="1">
      <alignment horizontal="right"/>
    </xf>
    <xf numFmtId="0" fontId="4" fillId="0" borderId="9" xfId="0" applyFont="1" applyBorder="1"/>
    <xf numFmtId="0" fontId="0" fillId="0" borderId="0" xfId="0" applyFill="1"/>
    <xf numFmtId="1" fontId="4" fillId="0" borderId="0" xfId="0" applyNumberFormat="1" applyFont="1" applyBorder="1"/>
    <xf numFmtId="14" fontId="4" fillId="0" borderId="10" xfId="0" applyNumberFormat="1" applyFont="1" applyBorder="1"/>
    <xf numFmtId="0" fontId="4" fillId="0" borderId="11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3" fontId="1" fillId="0" borderId="0" xfId="0" applyNumberFormat="1" applyFont="1" applyBorder="1"/>
    <xf numFmtId="3" fontId="1" fillId="0" borderId="3" xfId="0" applyNumberFormat="1" applyFont="1" applyBorder="1"/>
    <xf numFmtId="0" fontId="4" fillId="2" borderId="9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3" fontId="4" fillId="0" borderId="9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11" xfId="0" applyNumberFormat="1" applyFont="1" applyBorder="1"/>
    <xf numFmtId="0" fontId="4" fillId="2" borderId="8" xfId="0" applyFont="1" applyFill="1" applyBorder="1"/>
    <xf numFmtId="0" fontId="4" fillId="2" borderId="5" xfId="0" applyFont="1" applyFill="1" applyBorder="1"/>
    <xf numFmtId="0" fontId="5" fillId="2" borderId="5" xfId="0" applyFont="1" applyFill="1" applyBorder="1" applyAlignment="1">
      <alignment horizontal="right"/>
    </xf>
    <xf numFmtId="3" fontId="4" fillId="0" borderId="5" xfId="0" applyNumberFormat="1" applyFont="1" applyBorder="1"/>
    <xf numFmtId="3" fontId="4" fillId="0" borderId="12" xfId="0" applyNumberFormat="1" applyFont="1" applyBorder="1"/>
    <xf numFmtId="0" fontId="6" fillId="0" borderId="0" xfId="0" applyFont="1"/>
    <xf numFmtId="0" fontId="4" fillId="3" borderId="4" xfId="0" applyFont="1" applyFill="1" applyBorder="1"/>
    <xf numFmtId="0" fontId="0" fillId="3" borderId="0" xfId="0" applyFill="1"/>
    <xf numFmtId="0" fontId="7" fillId="3" borderId="14" xfId="0" applyFont="1" applyFill="1" applyBorder="1"/>
    <xf numFmtId="0" fontId="7" fillId="3" borderId="15" xfId="0" applyFont="1" applyFill="1" applyBorder="1"/>
    <xf numFmtId="0" fontId="8" fillId="3" borderId="13" xfId="0" applyFont="1" applyFill="1" applyBorder="1"/>
    <xf numFmtId="0" fontId="0" fillId="2" borderId="0" xfId="0" applyFill="1"/>
    <xf numFmtId="1" fontId="4" fillId="0" borderId="0" xfId="0" applyNumberFormat="1" applyFont="1"/>
    <xf numFmtId="0" fontId="9" fillId="2" borderId="0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1" fontId="4" fillId="0" borderId="5" xfId="0" applyNumberFormat="1" applyFont="1" applyBorder="1"/>
    <xf numFmtId="0" fontId="0" fillId="4" borderId="16" xfId="0" applyFill="1" applyBorder="1"/>
    <xf numFmtId="0" fontId="0" fillId="4" borderId="0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10" fillId="4" borderId="0" xfId="1" applyFill="1" applyBorder="1"/>
    <xf numFmtId="0" fontId="11" fillId="5" borderId="0" xfId="0" applyFont="1" applyFill="1"/>
    <xf numFmtId="0" fontId="11" fillId="6" borderId="0" xfId="0" applyFont="1" applyFill="1"/>
    <xf numFmtId="49" fontId="11" fillId="5" borderId="21" xfId="0" quotePrefix="1" applyNumberFormat="1" applyFont="1" applyFill="1" applyBorder="1"/>
    <xf numFmtId="0" fontId="12" fillId="5" borderId="0" xfId="1" applyFont="1" applyFill="1" applyAlignment="1">
      <alignment horizontal="left" indent="1"/>
    </xf>
    <xf numFmtId="0" fontId="12" fillId="5" borderId="21" xfId="1" applyFont="1" applyFill="1" applyBorder="1"/>
    <xf numFmtId="0" fontId="11" fillId="7" borderId="0" xfId="0" applyFont="1" applyFill="1"/>
    <xf numFmtId="0" fontId="11" fillId="0" borderId="0" xfId="0" applyFont="1"/>
    <xf numFmtId="9" fontId="1" fillId="0" borderId="0" xfId="2" applyFont="1" applyBorder="1"/>
    <xf numFmtId="9" fontId="1" fillId="0" borderId="3" xfId="2" applyFont="1" applyBorder="1"/>
  </cellXfs>
  <cellStyles count="3">
    <cellStyle name="Гиперссылка" xfId="1" builtinId="8"/>
    <cellStyle name="Обычный" xfId="0" builtinId="0"/>
    <cellStyle name="Процентный" xfId="2" builtinId="5"/>
  </cellStyles>
  <dxfs count="3">
    <dxf>
      <font>
        <color rgb="FF9C0006"/>
      </font>
      <fill>
        <patternFill>
          <bgColor rgb="FFFFC7CE"/>
        </patternFill>
      </fill>
    </dxf>
    <dxf>
      <numFmt numFmtId="3" formatCode="#,##0"/>
      <alignment horizontal="right" vertical="bottom" textRotation="0" wrapText="0" indent="0" relativeIndent="255" justifyLastLine="0" shrinkToFit="0" readingOrder="0"/>
    </dxf>
    <dxf>
      <numFmt numFmtId="3" formatCode="#,##0"/>
      <alignment horizontal="right" vertical="bottom" textRotation="0" wrapText="0" indent="0" relativeIndent="255" justifyLastLine="0" shrinkToFit="0" readingOrder="0"/>
    </dxf>
  </dxfs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roundedCorners val="1"/>
  <c:chart>
    <c:title>
      <c:tx>
        <c:strRef>
          <c:f>вычисления!$F$21</c:f>
          <c:strCache>
            <c:ptCount val="1"/>
            <c:pt idx="0">
              <c:v>выручка</c:v>
            </c:pt>
          </c:strCache>
        </c:strRef>
      </c:tx>
      <c:layout>
        <c:manualLayout>
          <c:xMode val="edge"/>
          <c:yMode val="edge"/>
          <c:x val="6.6001770779216028E-3"/>
          <c:y val="3.333333333333334E-2"/>
        </c:manualLayout>
      </c:layout>
      <c:overlay val="1"/>
      <c:txPr>
        <a:bodyPr/>
        <a:lstStyle/>
        <a:p>
          <a:pPr algn="l">
            <a:defRPr sz="1000">
              <a:solidFill>
                <a:schemeClr val="accent6">
                  <a:lumMod val="50000"/>
                </a:schemeClr>
              </a:solidFill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0.14429448818897644"/>
          <c:y val="0.23333333333333336"/>
          <c:w val="0.7871251312403581"/>
          <c:h val="0.59977742782152232"/>
        </c:manualLayout>
      </c:layout>
      <c:areaChart>
        <c:grouping val="standard"/>
        <c:ser>
          <c:idx val="2"/>
          <c:order val="2"/>
          <c:spPr>
            <a:gradFill>
              <a:gsLst>
                <a:gs pos="0">
                  <a:schemeClr val="accent6">
                    <a:lumMod val="60000"/>
                    <a:lumOff val="40000"/>
                    <a:alpha val="83000"/>
                  </a:schemeClr>
                </a:gs>
                <a:gs pos="100000">
                  <a:schemeClr val="accent6">
                    <a:lumMod val="60000"/>
                    <a:lumOff val="40000"/>
                    <a:alpha val="12000"/>
                  </a:schemeClr>
                </a:gs>
              </a:gsLst>
              <a:lin ang="5400000" scaled="0"/>
            </a:gra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вычисления!$F$24:$R$24</c:f>
              <c:numCache>
                <c:formatCode>#,##0</c:formatCode>
                <c:ptCount val="13"/>
                <c:pt idx="0">
                  <c:v>4430.0200000000004</c:v>
                </c:pt>
                <c:pt idx="1">
                  <c:v>8809.7119999999995</c:v>
                </c:pt>
                <c:pt idx="2">
                  <c:v>2911.3240000000001</c:v>
                </c:pt>
                <c:pt idx="3">
                  <c:v>7528.4170000000004</c:v>
                </c:pt>
                <c:pt idx="4">
                  <c:v>7508.1859999999997</c:v>
                </c:pt>
                <c:pt idx="5">
                  <c:v>5318.6279999999997</c:v>
                </c:pt>
                <c:pt idx="6">
                  <c:v>5538.6809999999996</c:v>
                </c:pt>
                <c:pt idx="7">
                  <c:v>2069.6129999999998</c:v>
                </c:pt>
                <c:pt idx="8">
                  <c:v>3466.0189999999998</c:v>
                </c:pt>
                <c:pt idx="9">
                  <c:v>7505.3770000000004</c:v>
                </c:pt>
                <c:pt idx="10">
                  <c:v>3505.8330000000001</c:v>
                </c:pt>
                <c:pt idx="11">
                  <c:v>7846.1670000000004</c:v>
                </c:pt>
                <c:pt idx="12">
                  <c:v>6983.7879999999996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60-4315-9D25-9840E701FFCE}"/>
            </c:ext>
          </c:extLst>
        </c:ser>
        <c:dLbls/>
        <c:axId val="57538432"/>
        <c:axId val="72870912"/>
      </c:areaChart>
      <c:barChart>
        <c:barDir val="col"/>
        <c:grouping val="percentStacked"/>
        <c:ser>
          <c:idx val="0"/>
          <c:order val="0"/>
          <c:spPr>
            <a:solidFill>
              <a:schemeClr val="bg1">
                <a:lumMod val="75000"/>
                <a:alpha val="32000"/>
              </a:schemeClr>
            </a:soli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вычисления!$F$13:$R$13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60-4315-9D25-9840E701FFCE}"/>
            </c:ext>
          </c:extLst>
        </c:ser>
        <c:dLbls/>
        <c:gapWidth val="0"/>
        <c:overlap val="100"/>
        <c:axId val="88283008"/>
        <c:axId val="85514112"/>
      </c:barChart>
      <c:lineChart>
        <c:grouping val="standard"/>
        <c:ser>
          <c:idx val="1"/>
          <c:order val="1"/>
          <c:spPr>
            <a:ln w="19050">
              <a:solidFill>
                <a:schemeClr val="accent6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вычисления!$F$23:$R$23</c:f>
              <c:numCache>
                <c:formatCode>#,##0</c:formatCode>
                <c:ptCount val="13"/>
                <c:pt idx="0">
                  <c:v>6494.2150000000001</c:v>
                </c:pt>
                <c:pt idx="1">
                  <c:v>6546.1459999999997</c:v>
                </c:pt>
                <c:pt idx="2">
                  <c:v>3492.9609999999998</c:v>
                </c:pt>
                <c:pt idx="3">
                  <c:v>5471.1589999999997</c:v>
                </c:pt>
                <c:pt idx="4">
                  <c:v>2958.0639999999999</c:v>
                </c:pt>
                <c:pt idx="5">
                  <c:v>8625.2219999999998</c:v>
                </c:pt>
                <c:pt idx="6">
                  <c:v>6170.0150000000003</c:v>
                </c:pt>
                <c:pt idx="7">
                  <c:v>8139.2</c:v>
                </c:pt>
                <c:pt idx="8">
                  <c:v>5208.0649999999996</c:v>
                </c:pt>
                <c:pt idx="9">
                  <c:v>7056.44439285714</c:v>
                </c:pt>
                <c:pt idx="10">
                  <c:v>7302.0200357142903</c:v>
                </c:pt>
                <c:pt idx="11">
                  <c:v>7547.5956785714297</c:v>
                </c:pt>
                <c:pt idx="12">
                  <c:v>6873.453300000001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60-4315-9D25-9840E701FFCE}"/>
            </c:ext>
          </c:extLst>
        </c:ser>
        <c:ser>
          <c:idx val="3"/>
          <c:order val="3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вычисления!$F$25:$R$25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60-4315-9D25-9840E701FFCE}"/>
            </c:ext>
          </c:extLst>
        </c:ser>
        <c:ser>
          <c:idx val="4"/>
          <c:order val="4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вычисления!$F$26:$R$26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8625.2219999999998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760-4315-9D25-9840E701FFCE}"/>
            </c:ext>
          </c:extLst>
        </c:ser>
        <c:ser>
          <c:idx val="5"/>
          <c:order val="5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вычисления!$F$27:$R$27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2958.0639999999999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760-4315-9D25-9840E701FFCE}"/>
            </c:ext>
          </c:extLst>
        </c:ser>
        <c:ser>
          <c:idx val="6"/>
          <c:order val="6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вычисления!$F$28:$R$28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760-4315-9D25-9840E701FFCE}"/>
            </c:ext>
          </c:extLst>
        </c:ser>
        <c:dLbls/>
        <c:marker val="1"/>
        <c:axId val="57538432"/>
        <c:axId val="72870912"/>
      </c:lineChart>
      <c:catAx>
        <c:axId val="57538432"/>
        <c:scaling>
          <c:orientation val="minMax"/>
        </c:scaling>
        <c:axPos val="b"/>
        <c:title>
          <c:tx>
            <c:strRef>
              <c:f>вычисления!$L$21</c:f>
              <c:strCache>
                <c:ptCount val="1"/>
                <c:pt idx="0">
                  <c:v>руб. ' 000</c:v>
                </c:pt>
              </c:strCache>
            </c:strRef>
          </c:tx>
          <c:layout>
            <c:manualLayout>
              <c:xMode val="edge"/>
              <c:yMode val="edge"/>
              <c:x val="3.5222199341236678E-3"/>
              <c:y val="0.12303307086614176"/>
            </c:manualLayout>
          </c:layout>
          <c:txPr>
            <a:bodyPr/>
            <a:lstStyle/>
            <a:p>
              <a:pPr>
                <a:defRPr sz="800" b="0"/>
              </a:pPr>
              <a:endParaRPr lang="ru-RU"/>
            </a:p>
          </c:txPr>
        </c:title>
        <c:numFmt formatCode="General" sourceLinked="0"/>
        <c:majorTickMark val="none"/>
        <c:tickLblPos val="low"/>
        <c:spPr>
          <a:ln>
            <a:solidFill>
              <a:schemeClr val="bg1">
                <a:lumMod val="65000"/>
              </a:schemeClr>
            </a:solidFill>
          </a:ln>
        </c:spPr>
        <c:crossAx val="72870912"/>
        <c:crosses val="autoZero"/>
        <c:auto val="1"/>
        <c:lblAlgn val="ctr"/>
        <c:lblOffset val="0"/>
      </c:catAx>
      <c:valAx>
        <c:axId val="7287091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strRef>
              <c:f>вычисления!$Q$20</c:f>
              <c:strCache>
                <c:ptCount val="1"/>
                <c:pt idx="0">
                  <c:v> _x000d_ _x000d_г▲6%</c:v>
                </c:pt>
              </c:strCache>
            </c:strRef>
          </c:tx>
          <c:layout>
            <c:manualLayout>
              <c:xMode val="edge"/>
              <c:yMode val="edge"/>
              <c:x val="0.81537900262467211"/>
              <c:y val="3.5938582677165362E-2"/>
            </c:manualLayout>
          </c:layout>
          <c:txPr>
            <a:bodyPr rot="0" vert="horz"/>
            <a:lstStyle/>
            <a:p>
              <a:pPr algn="ctr">
                <a:defRPr sz="700" b="0">
                  <a:latin typeface="Arial Narrow" panose="020B0606020202030204" pitchFamily="34" charset="0"/>
                  <a:cs typeface="CordiaUPC" panose="020B0304020202020204" pitchFamily="34" charset="-34"/>
                </a:defRPr>
              </a:pPr>
              <a:endParaRPr lang="ru-RU"/>
            </a:p>
          </c:txPr>
        </c:title>
        <c:numFmt formatCode="#,##0" sourceLinked="1"/>
        <c:tickLblPos val="nextTo"/>
        <c:spPr>
          <a:ln>
            <a:noFill/>
          </a:ln>
        </c:spPr>
        <c:crossAx val="57538432"/>
        <c:crosses val="autoZero"/>
        <c:crossBetween val="midCat"/>
      </c:valAx>
      <c:valAx>
        <c:axId val="85514112"/>
        <c:scaling>
          <c:orientation val="minMax"/>
        </c:scaling>
        <c:axPos val="r"/>
        <c:title>
          <c:tx>
            <c:strRef>
              <c:f>вычисления!$Q$21</c:f>
              <c:strCache>
                <c:ptCount val="1"/>
                <c:pt idx="0">
                  <c:v>п▼2%_x000d_м▼9%_x000d_ </c:v>
                </c:pt>
              </c:strCache>
            </c:strRef>
          </c:tx>
          <c:layout>
            <c:manualLayout>
              <c:xMode val="edge"/>
              <c:yMode val="edge"/>
              <c:x val="0.81773611101665689"/>
              <c:y val="3.5655118110236229E-2"/>
            </c:manualLayout>
          </c:layout>
          <c:txPr>
            <a:bodyPr rot="0" vert="horz"/>
            <a:lstStyle/>
            <a:p>
              <a:pPr algn="ctr">
                <a:defRPr b="0">
                  <a:solidFill>
                    <a:srgbClr val="FF0000"/>
                  </a:solidFill>
                  <a:latin typeface="Arial Narrow" panose="020B0606020202030204" pitchFamily="34" charset="0"/>
                  <a:cs typeface="CordiaUPC" panose="020B0304020202020204" pitchFamily="34" charset="-34"/>
                </a:defRPr>
              </a:pPr>
              <a:endParaRPr lang="ru-RU"/>
            </a:p>
          </c:txPr>
        </c:title>
        <c:numFmt formatCode="0%" sourceLinked="1"/>
        <c:majorTickMark val="none"/>
        <c:tickLblPos val="none"/>
        <c:spPr>
          <a:ln>
            <a:noFill/>
          </a:ln>
        </c:spPr>
        <c:crossAx val="88283008"/>
        <c:crosses val="max"/>
        <c:crossBetween val="between"/>
      </c:valAx>
      <c:catAx>
        <c:axId val="88283008"/>
        <c:scaling>
          <c:orientation val="minMax"/>
        </c:scaling>
        <c:delete val="1"/>
        <c:axPos val="b"/>
        <c:numFmt formatCode="General" sourceLinked="1"/>
        <c:tickLblPos val="none"/>
        <c:crossAx val="85514112"/>
        <c:crosses val="autoZero"/>
        <c:auto val="1"/>
        <c:lblAlgn val="ctr"/>
        <c:lblOffset val="100"/>
      </c:catAx>
      <c:spPr>
        <a:noFill/>
      </c:spPr>
    </c:plotArea>
    <c:plotVisOnly val="1"/>
    <c:dispBlanksAs val="gap"/>
  </c:chart>
  <c:spPr>
    <a:solidFill>
      <a:srgbClr val="FAFAFA"/>
    </a:solidFill>
    <a:ln>
      <a:solidFill>
        <a:schemeClr val="bg1">
          <a:lumMod val="85000"/>
        </a:schemeClr>
      </a:solidFill>
    </a:ln>
  </c:spPr>
  <c:txPr>
    <a:bodyPr/>
    <a:lstStyle/>
    <a:p>
      <a:pPr>
        <a:defRPr sz="700">
          <a:solidFill>
            <a:schemeClr val="bg1">
              <a:lumMod val="50000"/>
            </a:schemeClr>
          </a:solidFill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roundedCorners val="1"/>
  <c:chart>
    <c:title>
      <c:tx>
        <c:strRef>
          <c:f>вычисления!$F$31</c:f>
          <c:strCache>
            <c:ptCount val="1"/>
            <c:pt idx="0">
              <c:v>расходы</c:v>
            </c:pt>
          </c:strCache>
        </c:strRef>
      </c:tx>
      <c:layout>
        <c:manualLayout>
          <c:xMode val="edge"/>
          <c:yMode val="edge"/>
          <c:x val="6.6001770779216028E-3"/>
          <c:y val="3.333333333333334E-2"/>
        </c:manualLayout>
      </c:layout>
      <c:overlay val="1"/>
      <c:txPr>
        <a:bodyPr/>
        <a:lstStyle/>
        <a:p>
          <a:pPr algn="l">
            <a:defRPr sz="1000">
              <a:solidFill>
                <a:schemeClr val="accent6">
                  <a:lumMod val="50000"/>
                </a:schemeClr>
              </a:solidFill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0.14429448818897644"/>
          <c:y val="0.23333333333333336"/>
          <c:w val="0.78703773058144999"/>
          <c:h val="0.59977742782152232"/>
        </c:manualLayout>
      </c:layout>
      <c:areaChart>
        <c:grouping val="standard"/>
        <c:ser>
          <c:idx val="2"/>
          <c:order val="2"/>
          <c:spPr>
            <a:gradFill>
              <a:gsLst>
                <a:gs pos="0">
                  <a:schemeClr val="accent6">
                    <a:lumMod val="60000"/>
                    <a:lumOff val="40000"/>
                    <a:alpha val="83000"/>
                  </a:schemeClr>
                </a:gs>
                <a:gs pos="100000">
                  <a:schemeClr val="accent6">
                    <a:lumMod val="60000"/>
                    <a:lumOff val="40000"/>
                    <a:alpha val="12000"/>
                  </a:schemeClr>
                </a:gs>
              </a:gsLst>
              <a:lin ang="5400000" scaled="0"/>
            </a:gra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вычисления!$F$34:$R$34</c:f>
              <c:numCache>
                <c:formatCode>#,##0</c:formatCode>
                <c:ptCount val="13"/>
                <c:pt idx="0">
                  <c:v>1502.4090000000001</c:v>
                </c:pt>
                <c:pt idx="1">
                  <c:v>2499.951</c:v>
                </c:pt>
                <c:pt idx="2">
                  <c:v>1339.741</c:v>
                </c:pt>
                <c:pt idx="3">
                  <c:v>1550.0940000000001</c:v>
                </c:pt>
                <c:pt idx="4">
                  <c:v>2226.2959999999998</c:v>
                </c:pt>
                <c:pt idx="5">
                  <c:v>2600.7559999999999</c:v>
                </c:pt>
                <c:pt idx="6">
                  <c:v>2924.8649999999998</c:v>
                </c:pt>
                <c:pt idx="7">
                  <c:v>1619.5239999999999</c:v>
                </c:pt>
                <c:pt idx="8">
                  <c:v>2577.4769999999999</c:v>
                </c:pt>
                <c:pt idx="9">
                  <c:v>1021.467</c:v>
                </c:pt>
                <c:pt idx="10">
                  <c:v>1027.7460000000001</c:v>
                </c:pt>
                <c:pt idx="11">
                  <c:v>2346.5439999999999</c:v>
                </c:pt>
                <c:pt idx="12">
                  <c:v>2636.8319999999999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DD-45FB-9688-A6234E82783C}"/>
            </c:ext>
          </c:extLst>
        </c:ser>
        <c:dLbls/>
        <c:axId val="91520000"/>
        <c:axId val="96339456"/>
      </c:areaChart>
      <c:barChart>
        <c:barDir val="col"/>
        <c:grouping val="percentStacked"/>
        <c:ser>
          <c:idx val="0"/>
          <c:order val="0"/>
          <c:spPr>
            <a:solidFill>
              <a:schemeClr val="bg1">
                <a:lumMod val="75000"/>
                <a:alpha val="32000"/>
              </a:schemeClr>
            </a:soli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вычисления!$F$13:$R$13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DD-45FB-9688-A6234E82783C}"/>
            </c:ext>
          </c:extLst>
        </c:ser>
        <c:dLbls/>
        <c:gapWidth val="0"/>
        <c:overlap val="100"/>
        <c:axId val="96360320"/>
        <c:axId val="96341376"/>
      </c:barChart>
      <c:lineChart>
        <c:grouping val="standard"/>
        <c:ser>
          <c:idx val="1"/>
          <c:order val="1"/>
          <c:spPr>
            <a:ln w="19050">
              <a:solidFill>
                <a:schemeClr val="accent6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вычисления!$F$33:$R$33</c:f>
              <c:numCache>
                <c:formatCode>#,##0</c:formatCode>
                <c:ptCount val="13"/>
                <c:pt idx="0">
                  <c:v>1273.144</c:v>
                </c:pt>
                <c:pt idx="1">
                  <c:v>2218.02</c:v>
                </c:pt>
                <c:pt idx="2">
                  <c:v>1761.17</c:v>
                </c:pt>
                <c:pt idx="3">
                  <c:v>2995.98</c:v>
                </c:pt>
                <c:pt idx="4">
                  <c:v>3837.3330000000001</c:v>
                </c:pt>
                <c:pt idx="5">
                  <c:v>2163.8670000000002</c:v>
                </c:pt>
                <c:pt idx="6">
                  <c:v>2794.9810000000002</c:v>
                </c:pt>
                <c:pt idx="7">
                  <c:v>2479.491</c:v>
                </c:pt>
                <c:pt idx="8">
                  <c:v>1785.4359999999999</c:v>
                </c:pt>
                <c:pt idx="9">
                  <c:v>1769.462</c:v>
                </c:pt>
                <c:pt idx="10">
                  <c:v>2763.6559999999999</c:v>
                </c:pt>
                <c:pt idx="11">
                  <c:v>2783.1660000000002</c:v>
                </c:pt>
                <c:pt idx="12">
                  <c:v>1803.3689999999999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DD-45FB-9688-A6234E82783C}"/>
            </c:ext>
          </c:extLst>
        </c:ser>
        <c:ser>
          <c:idx val="3"/>
          <c:order val="3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вычисления!$F$25:$R$25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DD-45FB-9688-A6234E82783C}"/>
            </c:ext>
          </c:extLst>
        </c:ser>
        <c:ser>
          <c:idx val="4"/>
          <c:order val="4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вычисления!$F$36:$R$36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3837.3330000000001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BDD-45FB-9688-A6234E82783C}"/>
            </c:ext>
          </c:extLst>
        </c:ser>
        <c:ser>
          <c:idx val="5"/>
          <c:order val="5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вычисления!$F$37:$R$37</c:f>
              <c:numCache>
                <c:formatCode>#,##0</c:formatCode>
                <c:ptCount val="13"/>
                <c:pt idx="0">
                  <c:v>1273.144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BDD-45FB-9688-A6234E82783C}"/>
            </c:ext>
          </c:extLst>
        </c:ser>
        <c:ser>
          <c:idx val="6"/>
          <c:order val="6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вычисления!$F$28:$R$28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BDD-45FB-9688-A6234E82783C}"/>
            </c:ext>
          </c:extLst>
        </c:ser>
        <c:dLbls/>
        <c:marker val="1"/>
        <c:axId val="91520000"/>
        <c:axId val="96339456"/>
      </c:lineChart>
      <c:catAx>
        <c:axId val="91520000"/>
        <c:scaling>
          <c:orientation val="minMax"/>
        </c:scaling>
        <c:axPos val="b"/>
        <c:title>
          <c:tx>
            <c:strRef>
              <c:f>вычисления!$L$31</c:f>
              <c:strCache>
                <c:ptCount val="1"/>
                <c:pt idx="0">
                  <c:v>руб. ' 000</c:v>
                </c:pt>
              </c:strCache>
            </c:strRef>
          </c:tx>
          <c:layout>
            <c:manualLayout>
              <c:xMode val="edge"/>
              <c:yMode val="edge"/>
              <c:x val="3.5222199341236678E-3"/>
              <c:y val="0.12303307086614176"/>
            </c:manualLayout>
          </c:layout>
          <c:txPr>
            <a:bodyPr/>
            <a:lstStyle/>
            <a:p>
              <a:pPr>
                <a:defRPr sz="800" b="0"/>
              </a:pPr>
              <a:endParaRPr lang="ru-RU"/>
            </a:p>
          </c:txPr>
        </c:title>
        <c:numFmt formatCode="General" sourceLinked="0"/>
        <c:majorTickMark val="none"/>
        <c:tickLblPos val="low"/>
        <c:spPr>
          <a:ln>
            <a:solidFill>
              <a:schemeClr val="bg1">
                <a:lumMod val="65000"/>
              </a:schemeClr>
            </a:solidFill>
          </a:ln>
        </c:spPr>
        <c:crossAx val="96339456"/>
        <c:crosses val="autoZero"/>
        <c:auto val="1"/>
        <c:lblAlgn val="ctr"/>
        <c:lblOffset val="0"/>
      </c:catAx>
      <c:valAx>
        <c:axId val="9633945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strRef>
              <c:f>вычисления!$Q$30</c:f>
              <c:strCache>
                <c:ptCount val="1"/>
                <c:pt idx="0">
                  <c:v> _x000d_ _x000d_г▲42%</c:v>
                </c:pt>
              </c:strCache>
            </c:strRef>
          </c:tx>
          <c:layout>
            <c:manualLayout>
              <c:xMode val="edge"/>
              <c:yMode val="edge"/>
              <c:x val="0.8020051950065501"/>
              <c:y val="4.2605249343832016E-2"/>
            </c:manualLayout>
          </c:layout>
          <c:txPr>
            <a:bodyPr rot="0" vert="horz"/>
            <a:lstStyle/>
            <a:p>
              <a:pPr algn="ctr">
                <a:defRPr sz="700" b="0">
                  <a:latin typeface="Arial Narrow" panose="020B0606020202030204" pitchFamily="34" charset="0"/>
                  <a:cs typeface="CordiaUPC" panose="020B0304020202020204" pitchFamily="34" charset="-34"/>
                </a:defRPr>
              </a:pPr>
              <a:endParaRPr lang="ru-RU"/>
            </a:p>
          </c:txPr>
        </c:title>
        <c:numFmt formatCode="#,##0" sourceLinked="1"/>
        <c:tickLblPos val="nextTo"/>
        <c:spPr>
          <a:ln>
            <a:noFill/>
          </a:ln>
        </c:spPr>
        <c:crossAx val="91520000"/>
        <c:crosses val="autoZero"/>
        <c:crossBetween val="midCat"/>
      </c:valAx>
      <c:valAx>
        <c:axId val="96341376"/>
        <c:scaling>
          <c:orientation val="minMax"/>
        </c:scaling>
        <c:axPos val="r"/>
        <c:title>
          <c:tx>
            <c:strRef>
              <c:f>вычисления!$Q$31</c:f>
              <c:strCache>
                <c:ptCount val="1"/>
                <c:pt idx="0">
                  <c:v>п▼32%_x000d_м▼35%_x000d_ </c:v>
                </c:pt>
              </c:strCache>
            </c:strRef>
          </c:tx>
          <c:layout>
            <c:manualLayout>
              <c:xMode val="edge"/>
              <c:yMode val="edge"/>
              <c:x val="0.7978253799101247"/>
              <c:y val="4.232178477690289E-2"/>
            </c:manualLayout>
          </c:layout>
          <c:txPr>
            <a:bodyPr rot="0" vert="horz"/>
            <a:lstStyle/>
            <a:p>
              <a:pPr algn="ctr">
                <a:defRPr b="0">
                  <a:solidFill>
                    <a:srgbClr val="FF0000"/>
                  </a:solidFill>
                  <a:latin typeface="Arial Narrow" panose="020B0606020202030204" pitchFamily="34" charset="0"/>
                  <a:cs typeface="CordiaUPC" panose="020B0304020202020204" pitchFamily="34" charset="-34"/>
                </a:defRPr>
              </a:pPr>
              <a:endParaRPr lang="ru-RU"/>
            </a:p>
          </c:txPr>
        </c:title>
        <c:numFmt formatCode="0%" sourceLinked="1"/>
        <c:majorTickMark val="none"/>
        <c:tickLblPos val="none"/>
        <c:spPr>
          <a:ln>
            <a:noFill/>
          </a:ln>
        </c:spPr>
        <c:crossAx val="96360320"/>
        <c:crosses val="max"/>
        <c:crossBetween val="between"/>
      </c:valAx>
      <c:catAx>
        <c:axId val="96360320"/>
        <c:scaling>
          <c:orientation val="minMax"/>
        </c:scaling>
        <c:delete val="1"/>
        <c:axPos val="b"/>
        <c:numFmt formatCode="General" sourceLinked="1"/>
        <c:tickLblPos val="none"/>
        <c:crossAx val="96341376"/>
        <c:crosses val="autoZero"/>
        <c:auto val="1"/>
        <c:lblAlgn val="ctr"/>
        <c:lblOffset val="100"/>
      </c:catAx>
      <c:spPr>
        <a:noFill/>
      </c:spPr>
    </c:plotArea>
    <c:plotVisOnly val="1"/>
    <c:dispBlanksAs val="gap"/>
  </c:chart>
  <c:spPr>
    <a:solidFill>
      <a:srgbClr val="FAFAFA"/>
    </a:solidFill>
    <a:ln>
      <a:solidFill>
        <a:schemeClr val="bg1">
          <a:lumMod val="85000"/>
        </a:schemeClr>
      </a:solidFill>
    </a:ln>
  </c:spPr>
  <c:txPr>
    <a:bodyPr/>
    <a:lstStyle/>
    <a:p>
      <a:pPr>
        <a:defRPr sz="700">
          <a:solidFill>
            <a:schemeClr val="bg1">
              <a:lumMod val="50000"/>
            </a:schemeClr>
          </a:solidFill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roundedCorners val="1"/>
  <c:chart>
    <c:title>
      <c:tx>
        <c:strRef>
          <c:f>вычисления!$F$41</c:f>
          <c:strCache>
            <c:ptCount val="1"/>
            <c:pt idx="0">
              <c:v>прибыль</c:v>
            </c:pt>
          </c:strCache>
        </c:strRef>
      </c:tx>
      <c:layout>
        <c:manualLayout>
          <c:xMode val="edge"/>
          <c:yMode val="edge"/>
          <c:x val="6.6001770779216028E-3"/>
          <c:y val="3.333333333333334E-2"/>
        </c:manualLayout>
      </c:layout>
      <c:overlay val="1"/>
      <c:txPr>
        <a:bodyPr/>
        <a:lstStyle/>
        <a:p>
          <a:pPr algn="l">
            <a:defRPr sz="1000">
              <a:solidFill>
                <a:schemeClr val="accent6">
                  <a:lumMod val="50000"/>
                </a:schemeClr>
              </a:solidFill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0.14429448818897644"/>
          <c:y val="0.23333333333333336"/>
          <c:w val="0.7869786563452984"/>
          <c:h val="0.59977742782152232"/>
        </c:manualLayout>
      </c:layout>
      <c:areaChart>
        <c:grouping val="standard"/>
        <c:ser>
          <c:idx val="2"/>
          <c:order val="2"/>
          <c:spPr>
            <a:gradFill>
              <a:gsLst>
                <a:gs pos="0">
                  <a:schemeClr val="accent6">
                    <a:lumMod val="60000"/>
                    <a:lumOff val="40000"/>
                    <a:alpha val="83000"/>
                  </a:schemeClr>
                </a:gs>
                <a:gs pos="100000">
                  <a:schemeClr val="accent6">
                    <a:lumMod val="60000"/>
                    <a:lumOff val="40000"/>
                    <a:alpha val="12000"/>
                  </a:schemeClr>
                </a:gs>
              </a:gsLst>
              <a:lin ang="5400000" scaled="0"/>
            </a:gra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вычисления!$F$44:$R$44</c:f>
              <c:numCache>
                <c:formatCode>#,##0</c:formatCode>
                <c:ptCount val="13"/>
                <c:pt idx="0">
                  <c:v>2927.6109999999999</c:v>
                </c:pt>
                <c:pt idx="1">
                  <c:v>6309.7610000000004</c:v>
                </c:pt>
                <c:pt idx="2">
                  <c:v>1571.5830000000001</c:v>
                </c:pt>
                <c:pt idx="3">
                  <c:v>5978.3230000000003</c:v>
                </c:pt>
                <c:pt idx="4">
                  <c:v>5281.89</c:v>
                </c:pt>
                <c:pt idx="5">
                  <c:v>2717.8719999999998</c:v>
                </c:pt>
                <c:pt idx="6">
                  <c:v>2613.8159999999998</c:v>
                </c:pt>
                <c:pt idx="7">
                  <c:v>450.089</c:v>
                </c:pt>
                <c:pt idx="8">
                  <c:v>888.54200000000003</c:v>
                </c:pt>
                <c:pt idx="9">
                  <c:v>6483.91</c:v>
                </c:pt>
                <c:pt idx="10">
                  <c:v>2478.087</c:v>
                </c:pt>
                <c:pt idx="11">
                  <c:v>5499.6229999999996</c:v>
                </c:pt>
                <c:pt idx="12">
                  <c:v>4346.9560000000001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7E-4E2A-B3E9-E9144A443FD0}"/>
            </c:ext>
          </c:extLst>
        </c:ser>
        <c:dLbls/>
        <c:axId val="212771968"/>
        <c:axId val="212774272"/>
      </c:areaChart>
      <c:barChart>
        <c:barDir val="col"/>
        <c:grouping val="percentStacked"/>
        <c:ser>
          <c:idx val="0"/>
          <c:order val="0"/>
          <c:spPr>
            <a:solidFill>
              <a:schemeClr val="bg1">
                <a:lumMod val="75000"/>
                <a:alpha val="32000"/>
              </a:schemeClr>
            </a:soli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вычисления!$F$13:$R$13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7E-4E2A-B3E9-E9144A443FD0}"/>
            </c:ext>
          </c:extLst>
        </c:ser>
        <c:dLbls/>
        <c:gapWidth val="0"/>
        <c:overlap val="100"/>
        <c:axId val="213816064"/>
        <c:axId val="213600128"/>
      </c:barChart>
      <c:lineChart>
        <c:grouping val="standard"/>
        <c:ser>
          <c:idx val="1"/>
          <c:order val="1"/>
          <c:spPr>
            <a:ln w="19050">
              <a:solidFill>
                <a:schemeClr val="accent6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вычисления!$F$43:$R$43</c:f>
              <c:numCache>
                <c:formatCode>#,##0</c:formatCode>
                <c:ptCount val="13"/>
                <c:pt idx="0">
                  <c:v>5221.0709999999999</c:v>
                </c:pt>
                <c:pt idx="1">
                  <c:v>4328.1260000000002</c:v>
                </c:pt>
                <c:pt idx="2">
                  <c:v>1731.7909999999999</c:v>
                </c:pt>
                <c:pt idx="3">
                  <c:v>2475.1790000000001</c:v>
                </c:pt>
                <c:pt idx="4">
                  <c:v>-879.26900000000001</c:v>
                </c:pt>
                <c:pt idx="5">
                  <c:v>6461.3549999999996</c:v>
                </c:pt>
                <c:pt idx="6">
                  <c:v>3375.0340000000001</c:v>
                </c:pt>
                <c:pt idx="7">
                  <c:v>5659.7089999999998</c:v>
                </c:pt>
                <c:pt idx="8">
                  <c:v>3422.6289999999999</c:v>
                </c:pt>
                <c:pt idx="9">
                  <c:v>5286.9823928571395</c:v>
                </c:pt>
                <c:pt idx="10">
                  <c:v>4538.3640357142904</c:v>
                </c:pt>
                <c:pt idx="11">
                  <c:v>4764.4296785714305</c:v>
                </c:pt>
                <c:pt idx="12">
                  <c:v>5070.0843000000004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7E-4E2A-B3E9-E9144A443FD0}"/>
            </c:ext>
          </c:extLst>
        </c:ser>
        <c:ser>
          <c:idx val="3"/>
          <c:order val="3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вычисления!$F$25:$R$25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7E-4E2A-B3E9-E9144A443FD0}"/>
            </c:ext>
          </c:extLst>
        </c:ser>
        <c:ser>
          <c:idx val="4"/>
          <c:order val="4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вычисления!$F$46:$R$46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6461.3549999999996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7E-4E2A-B3E9-E9144A443FD0}"/>
            </c:ext>
          </c:extLst>
        </c:ser>
        <c:ser>
          <c:idx val="5"/>
          <c:order val="5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вычисления!$F$47:$R$47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-879.26900000000001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7E-4E2A-B3E9-E9144A443FD0}"/>
            </c:ext>
          </c:extLst>
        </c:ser>
        <c:ser>
          <c:idx val="6"/>
          <c:order val="6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вычисления!$F$28:$R$28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F7E-4E2A-B3E9-E9144A443FD0}"/>
            </c:ext>
          </c:extLst>
        </c:ser>
        <c:dLbls/>
        <c:marker val="1"/>
        <c:axId val="212771968"/>
        <c:axId val="212774272"/>
      </c:lineChart>
      <c:catAx>
        <c:axId val="212771968"/>
        <c:scaling>
          <c:orientation val="minMax"/>
        </c:scaling>
        <c:axPos val="b"/>
        <c:title>
          <c:tx>
            <c:strRef>
              <c:f>вычисления!$L$41</c:f>
              <c:strCache>
                <c:ptCount val="1"/>
                <c:pt idx="0">
                  <c:v>руб. ' 000</c:v>
                </c:pt>
              </c:strCache>
            </c:strRef>
          </c:tx>
          <c:layout>
            <c:manualLayout>
              <c:xMode val="edge"/>
              <c:yMode val="edge"/>
              <c:x val="3.5222199341236678E-3"/>
              <c:y val="0.12303307086614176"/>
            </c:manualLayout>
          </c:layout>
          <c:txPr>
            <a:bodyPr/>
            <a:lstStyle/>
            <a:p>
              <a:pPr>
                <a:defRPr sz="800" b="0"/>
              </a:pPr>
              <a:endParaRPr lang="ru-RU"/>
            </a:p>
          </c:txPr>
        </c:title>
        <c:numFmt formatCode="General" sourceLinked="0"/>
        <c:majorTickMark val="none"/>
        <c:tickLblPos val="low"/>
        <c:spPr>
          <a:ln>
            <a:solidFill>
              <a:schemeClr val="bg1">
                <a:lumMod val="65000"/>
              </a:schemeClr>
            </a:solidFill>
          </a:ln>
        </c:spPr>
        <c:crossAx val="212774272"/>
        <c:crosses val="autoZero"/>
        <c:auto val="1"/>
        <c:lblAlgn val="ctr"/>
        <c:lblOffset val="0"/>
      </c:catAx>
      <c:valAx>
        <c:axId val="21277427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strRef>
              <c:f>вычисления!$Q$40</c:f>
              <c:strCache>
                <c:ptCount val="1"/>
                <c:pt idx="0">
                  <c:v>п▲17%_x000d_м▲6%_x000d_ </c:v>
                </c:pt>
              </c:strCache>
            </c:strRef>
          </c:tx>
          <c:layout>
            <c:manualLayout>
              <c:xMode val="edge"/>
              <c:yMode val="edge"/>
              <c:x val="0.8019993719524886"/>
              <c:y val="4.2605249343832016E-2"/>
            </c:manualLayout>
          </c:layout>
          <c:txPr>
            <a:bodyPr rot="0" vert="horz"/>
            <a:lstStyle/>
            <a:p>
              <a:pPr algn="ctr">
                <a:defRPr sz="700" b="0">
                  <a:latin typeface="Arial Narrow" panose="020B0606020202030204" pitchFamily="34" charset="0"/>
                  <a:cs typeface="Courier New" panose="02070309020205020404" pitchFamily="49" charset="0"/>
                </a:defRPr>
              </a:pPr>
              <a:endParaRPr lang="ru-RU"/>
            </a:p>
          </c:txPr>
        </c:title>
        <c:numFmt formatCode="#,##0" sourceLinked="1"/>
        <c:tickLblPos val="nextTo"/>
        <c:spPr>
          <a:ln>
            <a:noFill/>
          </a:ln>
        </c:spPr>
        <c:crossAx val="212771968"/>
        <c:crosses val="autoZero"/>
        <c:crossBetween val="midCat"/>
      </c:valAx>
      <c:valAx>
        <c:axId val="213600128"/>
        <c:scaling>
          <c:orientation val="minMax"/>
        </c:scaling>
        <c:axPos val="r"/>
        <c:title>
          <c:tx>
            <c:strRef>
              <c:f>вычисления!$Q$41</c:f>
              <c:strCache>
                <c:ptCount val="1"/>
                <c:pt idx="0">
                  <c:v> _x000d_ _x000d_г▼3%</c:v>
                </c:pt>
              </c:strCache>
            </c:strRef>
          </c:tx>
          <c:layout>
            <c:manualLayout>
              <c:xMode val="edge"/>
              <c:yMode val="edge"/>
              <c:x val="0.7978253799101247"/>
              <c:y val="4.232178477690289E-2"/>
            </c:manualLayout>
          </c:layout>
          <c:txPr>
            <a:bodyPr rot="0" vert="horz"/>
            <a:lstStyle/>
            <a:p>
              <a:pPr algn="ctr">
                <a:defRPr b="0">
                  <a:solidFill>
                    <a:srgbClr val="FF0000"/>
                  </a:solidFill>
                  <a:latin typeface="Arial Narrow" panose="020B0606020202030204" pitchFamily="34" charset="0"/>
                  <a:cs typeface="Courier New" panose="02070309020205020404" pitchFamily="49" charset="0"/>
                </a:defRPr>
              </a:pPr>
              <a:endParaRPr lang="ru-RU"/>
            </a:p>
          </c:txPr>
        </c:title>
        <c:numFmt formatCode="0%" sourceLinked="1"/>
        <c:majorTickMark val="none"/>
        <c:tickLblPos val="none"/>
        <c:spPr>
          <a:ln>
            <a:noFill/>
          </a:ln>
        </c:spPr>
        <c:crossAx val="213816064"/>
        <c:crosses val="max"/>
        <c:crossBetween val="between"/>
      </c:valAx>
      <c:catAx>
        <c:axId val="213816064"/>
        <c:scaling>
          <c:orientation val="minMax"/>
        </c:scaling>
        <c:delete val="1"/>
        <c:axPos val="b"/>
        <c:numFmt formatCode="General" sourceLinked="1"/>
        <c:tickLblPos val="none"/>
        <c:crossAx val="213600128"/>
        <c:crosses val="autoZero"/>
        <c:auto val="1"/>
        <c:lblAlgn val="ctr"/>
        <c:lblOffset val="100"/>
      </c:catAx>
      <c:spPr>
        <a:noFill/>
      </c:spPr>
    </c:plotArea>
    <c:plotVisOnly val="1"/>
    <c:dispBlanksAs val="gap"/>
  </c:chart>
  <c:spPr>
    <a:solidFill>
      <a:srgbClr val="FAFAFA"/>
    </a:solidFill>
    <a:ln>
      <a:solidFill>
        <a:schemeClr val="bg1">
          <a:lumMod val="85000"/>
        </a:schemeClr>
      </a:solidFill>
    </a:ln>
  </c:spPr>
  <c:txPr>
    <a:bodyPr/>
    <a:lstStyle/>
    <a:p>
      <a:pPr>
        <a:defRPr sz="700">
          <a:solidFill>
            <a:schemeClr val="bg1">
              <a:lumMod val="50000"/>
            </a:schemeClr>
          </a:solidFill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roundedCorners val="1"/>
  <c:chart>
    <c:title>
      <c:tx>
        <c:strRef>
          <c:f>вычисления!$F$51</c:f>
          <c:strCache>
            <c:ptCount val="1"/>
            <c:pt idx="0">
              <c:v>рентабельность</c:v>
            </c:pt>
          </c:strCache>
        </c:strRef>
      </c:tx>
      <c:layout>
        <c:manualLayout>
          <c:xMode val="edge"/>
          <c:yMode val="edge"/>
          <c:x val="6.6001770779216028E-3"/>
          <c:y val="3.333333333333334E-2"/>
        </c:manualLayout>
      </c:layout>
      <c:overlay val="1"/>
      <c:txPr>
        <a:bodyPr/>
        <a:lstStyle/>
        <a:p>
          <a:pPr algn="l">
            <a:defRPr sz="1000">
              <a:solidFill>
                <a:schemeClr val="accent6">
                  <a:lumMod val="50000"/>
                </a:schemeClr>
              </a:solidFill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0.14429448818897644"/>
          <c:y val="0.23333333333333336"/>
          <c:w val="0.77295296091898358"/>
          <c:h val="0.59977742782152232"/>
        </c:manualLayout>
      </c:layout>
      <c:areaChart>
        <c:grouping val="standard"/>
        <c:ser>
          <c:idx val="2"/>
          <c:order val="2"/>
          <c:spPr>
            <a:gradFill>
              <a:gsLst>
                <a:gs pos="0">
                  <a:schemeClr val="accent6">
                    <a:lumMod val="60000"/>
                    <a:lumOff val="40000"/>
                    <a:alpha val="83000"/>
                  </a:schemeClr>
                </a:gs>
                <a:gs pos="100000">
                  <a:schemeClr val="accent6">
                    <a:lumMod val="60000"/>
                    <a:lumOff val="40000"/>
                    <a:alpha val="12000"/>
                  </a:schemeClr>
                </a:gs>
              </a:gsLst>
              <a:lin ang="5400000" scaled="0"/>
            </a:gra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вычисления!$F$54:$R$54</c:f>
              <c:numCache>
                <c:formatCode>#,##0</c:formatCode>
                <c:ptCount val="13"/>
                <c:pt idx="0">
                  <c:v>0.66085728732601656</c:v>
                </c:pt>
                <c:pt idx="1">
                  <c:v>0.71622784036526965</c:v>
                </c:pt>
                <c:pt idx="2">
                  <c:v>0.53981727901119902</c:v>
                </c:pt>
                <c:pt idx="3">
                  <c:v>0.79410093781999591</c:v>
                </c:pt>
                <c:pt idx="4">
                  <c:v>0.70348417047739631</c:v>
                </c:pt>
                <c:pt idx="5">
                  <c:v>0.51100998227362393</c:v>
                </c:pt>
                <c:pt idx="6">
                  <c:v>0.47192030015810621</c:v>
                </c:pt>
                <c:pt idx="7">
                  <c:v>0.21747495787859855</c:v>
                </c:pt>
                <c:pt idx="8">
                  <c:v>0.25635808690027378</c:v>
                </c:pt>
                <c:pt idx="9">
                  <c:v>0.86390197321200524</c:v>
                </c:pt>
                <c:pt idx="10">
                  <c:v>0.70684684638429729</c:v>
                </c:pt>
                <c:pt idx="11">
                  <c:v>0.70093116804676725</c:v>
                </c:pt>
                <c:pt idx="12">
                  <c:v>0.62243527438118107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A2-4952-9C1A-E26C8118B1EE}"/>
            </c:ext>
          </c:extLst>
        </c:ser>
        <c:dLbls/>
        <c:axId val="342857216"/>
        <c:axId val="342860928"/>
      </c:areaChart>
      <c:barChart>
        <c:barDir val="col"/>
        <c:grouping val="percentStacked"/>
        <c:ser>
          <c:idx val="0"/>
          <c:order val="0"/>
          <c:spPr>
            <a:solidFill>
              <a:schemeClr val="bg1">
                <a:lumMod val="75000"/>
                <a:alpha val="32000"/>
              </a:schemeClr>
            </a:solidFill>
          </c:spP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вычисления!$F$13:$R$13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A2-4952-9C1A-E26C8118B1EE}"/>
            </c:ext>
          </c:extLst>
        </c:ser>
        <c:dLbls/>
        <c:gapWidth val="0"/>
        <c:overlap val="100"/>
        <c:axId val="343987328"/>
        <c:axId val="342862848"/>
      </c:barChart>
      <c:lineChart>
        <c:grouping val="standard"/>
        <c:ser>
          <c:idx val="1"/>
          <c:order val="1"/>
          <c:spPr>
            <a:ln w="19050">
              <a:solidFill>
                <a:schemeClr val="accent6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вычисления!$F$53:$R$53</c:f>
              <c:numCache>
                <c:formatCode>#,##0</c:formatCode>
                <c:ptCount val="13"/>
                <c:pt idx="0">
                  <c:v>0.80395721422835553</c:v>
                </c:pt>
                <c:pt idx="1">
                  <c:v>0.66117162678620367</c:v>
                </c:pt>
                <c:pt idx="2">
                  <c:v>0.49579454222363206</c:v>
                </c:pt>
                <c:pt idx="3">
                  <c:v>0.45240487436025895</c:v>
                </c:pt>
                <c:pt idx="4">
                  <c:v>-0.297244751972912</c:v>
                </c:pt>
                <c:pt idx="5">
                  <c:v>0.74912332691262906</c:v>
                </c:pt>
                <c:pt idx="6">
                  <c:v>0.54700580144456701</c:v>
                </c:pt>
                <c:pt idx="7">
                  <c:v>0.69536428641635539</c:v>
                </c:pt>
                <c:pt idx="8">
                  <c:v>0.6571786258428034</c:v>
                </c:pt>
                <c:pt idx="9">
                  <c:v>0.74924169999962997</c:v>
                </c:pt>
                <c:pt idx="10">
                  <c:v>0.62152171775989151</c:v>
                </c:pt>
                <c:pt idx="11">
                  <c:v>0.63125131253363809</c:v>
                </c:pt>
                <c:pt idx="12">
                  <c:v>0.73763275586669075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A2-4952-9C1A-E26C8118B1EE}"/>
            </c:ext>
          </c:extLst>
        </c:ser>
        <c:ser>
          <c:idx val="3"/>
          <c:order val="3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вычисления!$F$25:$R$25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CA2-4952-9C1A-E26C8118B1EE}"/>
            </c:ext>
          </c:extLst>
        </c:ser>
        <c:ser>
          <c:idx val="4"/>
          <c:order val="4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вычисления!$F$56:$R$56</c:f>
              <c:numCache>
                <c:formatCode>#,##0</c:formatCode>
                <c:ptCount val="13"/>
                <c:pt idx="0">
                  <c:v>0.80395721422835553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A2-4952-9C1A-E26C8118B1EE}"/>
            </c:ext>
          </c:extLst>
        </c:ser>
        <c:ser>
          <c:idx val="5"/>
          <c:order val="5"/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вычисления!$F$57:$R$57</c:f>
              <c:numCache>
                <c:formatCode>#,##0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-0.297244751972912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CA2-4952-9C1A-E26C8118B1EE}"/>
            </c:ext>
          </c:extLst>
        </c:ser>
        <c:ser>
          <c:idx val="6"/>
          <c:order val="6"/>
          <c:marker>
            <c:symbol val="none"/>
          </c:marker>
          <c:cat>
            <c:strRef>
              <c:f>вычисления!$F$7:$R$7</c:f>
              <c:strCache>
                <c:ptCount val="13"/>
                <c:pt idx="0">
                  <c:v>1_x000d_'13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1_x000d_'14</c:v>
                </c:pt>
              </c:strCache>
            </c:strRef>
          </c:cat>
          <c:val>
            <c:numRef>
              <c:f>вычисления!$F$28:$R$28</c:f>
              <c:numCache>
                <c:formatCode>#,##0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A2-4952-9C1A-E26C8118B1EE}"/>
            </c:ext>
          </c:extLst>
        </c:ser>
        <c:dLbls/>
        <c:marker val="1"/>
        <c:axId val="342857216"/>
        <c:axId val="342860928"/>
      </c:lineChart>
      <c:catAx>
        <c:axId val="342857216"/>
        <c:scaling>
          <c:orientation val="minMax"/>
        </c:scaling>
        <c:axPos val="b"/>
        <c:title>
          <c:tx>
            <c:strRef>
              <c:f>вычисления!$L$51</c:f>
              <c:strCache>
                <c:ptCount val="1"/>
                <c:pt idx="0">
                  <c:v>%</c:v>
                </c:pt>
              </c:strCache>
            </c:strRef>
          </c:tx>
          <c:layout>
            <c:manualLayout>
              <c:xMode val="edge"/>
              <c:yMode val="edge"/>
              <c:x val="3.5222199341236678E-3"/>
              <c:y val="0.12303307086614176"/>
            </c:manualLayout>
          </c:layout>
          <c:txPr>
            <a:bodyPr/>
            <a:lstStyle/>
            <a:p>
              <a:pPr>
                <a:defRPr sz="800" b="0"/>
              </a:pPr>
              <a:endParaRPr lang="ru-RU"/>
            </a:p>
          </c:txPr>
        </c:title>
        <c:numFmt formatCode="General" sourceLinked="0"/>
        <c:majorTickMark val="none"/>
        <c:tickLblPos val="low"/>
        <c:spPr>
          <a:ln>
            <a:solidFill>
              <a:schemeClr val="bg1">
                <a:lumMod val="65000"/>
              </a:schemeClr>
            </a:solidFill>
          </a:ln>
        </c:spPr>
        <c:crossAx val="342860928"/>
        <c:crosses val="autoZero"/>
        <c:auto val="1"/>
        <c:lblAlgn val="ctr"/>
        <c:lblOffset val="0"/>
      </c:catAx>
      <c:valAx>
        <c:axId val="34286092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strRef>
              <c:f>вычисления!$Q$50</c:f>
              <c:strCache>
                <c:ptCount val="1"/>
                <c:pt idx="0">
                  <c:v>п▲19%_x000d_м▲17%_x000d_ </c:v>
                </c:pt>
              </c:strCache>
            </c:strRef>
          </c:tx>
          <c:layout>
            <c:manualLayout>
              <c:xMode val="edge"/>
              <c:yMode val="edge"/>
              <c:x val="0.79534143923535483"/>
              <c:y val="4.2605249343832016E-2"/>
            </c:manualLayout>
          </c:layout>
          <c:txPr>
            <a:bodyPr rot="0" vert="horz"/>
            <a:lstStyle/>
            <a:p>
              <a:pPr algn="ctr">
                <a:defRPr sz="700" b="0">
                  <a:latin typeface="Arial Narrow" panose="020B0606020202030204" pitchFamily="34" charset="0"/>
                  <a:cs typeface="Courier New" panose="02070309020205020404" pitchFamily="49" charset="0"/>
                </a:defRPr>
              </a:pPr>
              <a:endParaRPr lang="ru-RU"/>
            </a:p>
          </c:txPr>
        </c:title>
        <c:numFmt formatCode="#,##0" sourceLinked="1"/>
        <c:tickLblPos val="nextTo"/>
        <c:spPr>
          <a:ln>
            <a:noFill/>
          </a:ln>
        </c:spPr>
        <c:crossAx val="342857216"/>
        <c:crosses val="autoZero"/>
        <c:crossBetween val="midCat"/>
      </c:valAx>
      <c:valAx>
        <c:axId val="342862848"/>
        <c:scaling>
          <c:orientation val="minMax"/>
        </c:scaling>
        <c:axPos val="r"/>
        <c:title>
          <c:tx>
            <c:strRef>
              <c:f>вычисления!$Q$51</c:f>
              <c:strCache>
                <c:ptCount val="1"/>
                <c:pt idx="0">
                  <c:v> _x000d_ _x000d_г▼8%</c:v>
                </c:pt>
              </c:strCache>
            </c:strRef>
          </c:tx>
          <c:layout>
            <c:manualLayout>
              <c:xMode val="edge"/>
              <c:yMode val="edge"/>
              <c:x val="0.7978253799101247"/>
              <c:y val="4.232178477690289E-2"/>
            </c:manualLayout>
          </c:layout>
          <c:txPr>
            <a:bodyPr rot="0" vert="horz"/>
            <a:lstStyle/>
            <a:p>
              <a:pPr algn="ctr">
                <a:defRPr b="0">
                  <a:solidFill>
                    <a:srgbClr val="FF0000"/>
                  </a:solidFill>
                  <a:latin typeface="Arial Narrow" panose="020B0606020202030204" pitchFamily="34" charset="0"/>
                  <a:cs typeface="Courier New" panose="02070309020205020404" pitchFamily="49" charset="0"/>
                </a:defRPr>
              </a:pPr>
              <a:endParaRPr lang="ru-RU"/>
            </a:p>
          </c:txPr>
        </c:title>
        <c:numFmt formatCode="0%" sourceLinked="1"/>
        <c:majorTickMark val="none"/>
        <c:tickLblPos val="none"/>
        <c:spPr>
          <a:ln>
            <a:noFill/>
          </a:ln>
        </c:spPr>
        <c:crossAx val="343987328"/>
        <c:crosses val="max"/>
        <c:crossBetween val="between"/>
      </c:valAx>
      <c:catAx>
        <c:axId val="343987328"/>
        <c:scaling>
          <c:orientation val="minMax"/>
        </c:scaling>
        <c:delete val="1"/>
        <c:axPos val="b"/>
        <c:numFmt formatCode="General" sourceLinked="1"/>
        <c:tickLblPos val="none"/>
        <c:crossAx val="342862848"/>
        <c:crosses val="autoZero"/>
        <c:auto val="1"/>
        <c:lblAlgn val="ctr"/>
        <c:lblOffset val="100"/>
      </c:catAx>
      <c:spPr>
        <a:noFill/>
      </c:spPr>
    </c:plotArea>
    <c:plotVisOnly val="1"/>
    <c:dispBlanksAs val="gap"/>
  </c:chart>
  <c:spPr>
    <a:solidFill>
      <a:srgbClr val="FAFAFA"/>
    </a:solidFill>
    <a:ln>
      <a:solidFill>
        <a:schemeClr val="bg1">
          <a:lumMod val="85000"/>
        </a:schemeClr>
      </a:solidFill>
    </a:ln>
  </c:spPr>
  <c:txPr>
    <a:bodyPr/>
    <a:lstStyle/>
    <a:p>
      <a:pPr>
        <a:defRPr sz="700">
          <a:solidFill>
            <a:schemeClr val="bg1">
              <a:lumMod val="50000"/>
            </a:schemeClr>
          </a:solidFill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Spin" dx="16" fmlaLink="тек_период" max="30" min="13" page="10" val="13"/>
</file>

<file path=xl/ctrlProps/ctrlProp2.xml><?xml version="1.0" encoding="utf-8"?>
<formControlPr xmlns="http://schemas.microsoft.com/office/spreadsheetml/2009/9/main" objectType="CheckBox" checked="Checked" fmlaLink="вычисления!$C$13" lockText="1"/>
</file>

<file path=xl/ctrlProps/ctrlProp3.xml><?xml version="1.0" encoding="utf-8"?>
<formControlPr xmlns="http://schemas.microsoft.com/office/spreadsheetml/2009/9/main" objectType="CheckBox" checked="Checked" fmlaLink="Max" lockText="1"/>
</file>

<file path=xl/ctrlProps/ctrlProp4.xml><?xml version="1.0" encoding="utf-8"?>
<formControlPr xmlns="http://schemas.microsoft.com/office/spreadsheetml/2009/9/main" objectType="CheckBox" checked="Checked" fmlaLink="Min" lockText="1"/>
</file>

<file path=xl/ctrlProps/ctrlProp5.xml><?xml version="1.0" encoding="utf-8"?>
<formControlPr xmlns="http://schemas.microsoft.com/office/spreadsheetml/2009/9/main" objectType="CheckBox" checked="Checked" fmlaLink="факт" lockText="1"/>
</file>

<file path=xl/ctrlProps/ctrlProp6.xml><?xml version="1.0" encoding="utf-8"?>
<formControlPr xmlns="http://schemas.microsoft.com/office/spreadsheetml/2009/9/main" objectType="CheckBox" checked="Checked" fmlaLink="план" lockText="1"/>
</file>

<file path=xl/ctrlProps/ctrlProp7.xml><?xml version="1.0" encoding="utf-8"?>
<formControlPr xmlns="http://schemas.microsoft.com/office/spreadsheetml/2009/9/main" objectType="Spin" dx="16" fmlaLink="тек_период" max="30" min="13" page="10" val="13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goo.gl/ffUHC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12</xdr:col>
      <xdr:colOff>99391</xdr:colOff>
      <xdr:row>14</xdr:row>
      <xdr:rowOff>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235626</xdr:colOff>
      <xdr:row>4</xdr:row>
      <xdr:rowOff>0</xdr:rowOff>
    </xdr:from>
    <xdr:to>
      <xdr:col>19</xdr:col>
      <xdr:colOff>0</xdr:colOff>
      <xdr:row>14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235626</xdr:colOff>
      <xdr:row>4</xdr:row>
      <xdr:rowOff>0</xdr:rowOff>
    </xdr:from>
    <xdr:to>
      <xdr:col>25</xdr:col>
      <xdr:colOff>0</xdr:colOff>
      <xdr:row>14</xdr:row>
      <xdr:rowOff>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2" name="Рисунок 1" descr="Вырезка экрана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6" name="Рисунок 5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списки" displayName="списки" ref="E4:E9" totalsRowShown="0">
  <autoFilter ref="E4:E9"/>
  <sortState ref="E5:E9">
    <sortCondition ref="E4:E9"/>
  </sortState>
  <tableColumns count="1">
    <tableColumn id="1" name="Списки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делитель" displayName="делитель" ref="G4:G9" totalsRowShown="0" dataDxfId="2">
  <autoFilter ref="G4:G9"/>
  <tableColumns count="1">
    <tableColumn id="1" name="делитель" dataDxfId="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период" displayName="период" ref="B4:C16" totalsRowShown="0">
  <autoFilter ref="B4:C16"/>
  <tableColumns count="2">
    <tableColumn id="1" name="месяц"/>
    <tableColumn id="2" name="год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7" Type="http://schemas.openxmlformats.org/officeDocument/2006/relationships/ctrlProp" Target="../ctrlProps/ctrlProp6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16"/>
  <sheetViews>
    <sheetView showGridLines="0" tabSelected="1" zoomScaleNormal="100" workbookViewId="0">
      <selection activeCell="Z2" sqref="Z2"/>
    </sheetView>
  </sheetViews>
  <sheetFormatPr defaultRowHeight="15"/>
  <cols>
    <col min="1" max="1" width="3" customWidth="1"/>
    <col min="2" max="2" width="6.7109375" customWidth="1"/>
    <col min="3" max="3" width="1.42578125" customWidth="1"/>
    <col min="4" max="6" width="8.5703125" customWidth="1"/>
    <col min="7" max="7" width="1.42578125" customWidth="1"/>
    <col min="8" max="8" width="3.5703125" customWidth="1"/>
    <col min="9" max="9" width="1.42578125" customWidth="1"/>
    <col min="10" max="12" width="8.5703125" customWidth="1"/>
    <col min="13" max="13" width="1.42578125" customWidth="1"/>
    <col min="14" max="14" width="3.5703125" customWidth="1"/>
    <col min="15" max="15" width="1.42578125" customWidth="1"/>
    <col min="16" max="18" width="8.5703125" customWidth="1"/>
    <col min="19" max="19" width="1.42578125" customWidth="1"/>
    <col min="20" max="20" width="3.5703125" customWidth="1"/>
    <col min="21" max="21" width="1.42578125" customWidth="1"/>
    <col min="22" max="24" width="8.5703125" customWidth="1"/>
    <col min="25" max="25" width="1.42578125" customWidth="1"/>
    <col min="26" max="26" width="6.42578125" customWidth="1"/>
    <col min="27" max="27" width="2.42578125" customWidth="1"/>
  </cols>
  <sheetData>
    <row r="2" spans="2:26" ht="27" customHeight="1">
      <c r="B2" s="75" t="s">
        <v>72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4"/>
    </row>
    <row r="3" spans="2:26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</row>
    <row r="4" spans="2:26"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3"/>
    </row>
    <row r="6" spans="2:26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3"/>
    </row>
    <row r="7" spans="2:26"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3"/>
    </row>
    <row r="8" spans="2:26"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3"/>
    </row>
    <row r="9" spans="2:26"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3"/>
    </row>
    <row r="10" spans="2:26"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3"/>
    </row>
    <row r="11" spans="2:26"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3"/>
    </row>
    <row r="12" spans="2:26"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3"/>
    </row>
    <row r="13" spans="2:26"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3"/>
    </row>
    <row r="14" spans="2:26">
      <c r="B14" s="81"/>
      <c r="C14" s="82"/>
      <c r="D14" s="82"/>
      <c r="E14" s="82"/>
      <c r="F14" s="82"/>
      <c r="G14" s="82"/>
      <c r="H14" s="82"/>
      <c r="I14" s="82"/>
      <c r="J14" s="82"/>
      <c r="K14" s="87" t="str">
        <f>HYPERLINK("","ыы")</f>
        <v>ыы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3"/>
    </row>
    <row r="15" spans="2:26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3"/>
    </row>
    <row r="16" spans="2:26"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6"/>
    </row>
  </sheetData>
  <pageMargins left="0.28999999999999998" right="0.33" top="0.49" bottom="0.55000000000000004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B4:G16"/>
  <sheetViews>
    <sheetView workbookViewId="0">
      <selection activeCell="E8" sqref="E8"/>
    </sheetView>
  </sheetViews>
  <sheetFormatPr defaultRowHeight="15"/>
  <cols>
    <col min="1" max="1" width="3.7109375" customWidth="1"/>
    <col min="2" max="3" width="11.42578125" customWidth="1"/>
    <col min="4" max="4" width="3.7109375" customWidth="1"/>
    <col min="5" max="5" width="18" bestFit="1" customWidth="1"/>
    <col min="6" max="6" width="4.140625" customWidth="1"/>
    <col min="7" max="7" width="15.42578125" customWidth="1"/>
  </cols>
  <sheetData>
    <row r="4" spans="2:7">
      <c r="B4" t="s">
        <v>16</v>
      </c>
      <c r="C4" t="s">
        <v>10</v>
      </c>
      <c r="E4" t="s">
        <v>13</v>
      </c>
      <c r="G4" t="s">
        <v>2</v>
      </c>
    </row>
    <row r="5" spans="2:7">
      <c r="B5" t="s">
        <v>17</v>
      </c>
      <c r="C5">
        <v>2012</v>
      </c>
      <c r="E5" t="s">
        <v>11</v>
      </c>
      <c r="G5" s="9" t="s">
        <v>15</v>
      </c>
    </row>
    <row r="6" spans="2:7">
      <c r="B6" t="s">
        <v>18</v>
      </c>
      <c r="C6">
        <v>2013</v>
      </c>
      <c r="E6" t="s">
        <v>68</v>
      </c>
      <c r="G6" s="9">
        <v>1</v>
      </c>
    </row>
    <row r="7" spans="2:7">
      <c r="B7" t="s">
        <v>19</v>
      </c>
      <c r="C7">
        <v>2014</v>
      </c>
      <c r="E7" t="s">
        <v>69</v>
      </c>
      <c r="G7" s="9">
        <v>1000</v>
      </c>
    </row>
    <row r="8" spans="2:7">
      <c r="B8" t="s">
        <v>20</v>
      </c>
      <c r="C8">
        <v>2015</v>
      </c>
      <c r="E8" t="s">
        <v>70</v>
      </c>
      <c r="G8" s="9">
        <v>1000000</v>
      </c>
    </row>
    <row r="9" spans="2:7">
      <c r="B9" t="s">
        <v>21</v>
      </c>
      <c r="C9">
        <v>2016</v>
      </c>
      <c r="E9" t="s">
        <v>71</v>
      </c>
      <c r="G9" s="9">
        <v>1000000000</v>
      </c>
    </row>
    <row r="10" spans="2:7">
      <c r="B10" t="s">
        <v>22</v>
      </c>
      <c r="C10">
        <v>0</v>
      </c>
      <c r="G10" s="9"/>
    </row>
    <row r="11" spans="2:7">
      <c r="B11" t="s">
        <v>23</v>
      </c>
      <c r="C11">
        <v>0</v>
      </c>
    </row>
    <row r="12" spans="2:7">
      <c r="B12" t="s">
        <v>24</v>
      </c>
      <c r="C12">
        <v>0</v>
      </c>
    </row>
    <row r="13" spans="2:7">
      <c r="B13" t="s">
        <v>25</v>
      </c>
      <c r="C13">
        <v>0</v>
      </c>
    </row>
    <row r="14" spans="2:7">
      <c r="B14" t="s">
        <v>26</v>
      </c>
      <c r="C14">
        <v>0</v>
      </c>
    </row>
    <row r="15" spans="2:7">
      <c r="B15" t="s">
        <v>27</v>
      </c>
      <c r="C15">
        <v>0</v>
      </c>
    </row>
    <row r="16" spans="2:7">
      <c r="B16" t="s">
        <v>28</v>
      </c>
      <c r="C16">
        <v>0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2:BR22"/>
  <sheetViews>
    <sheetView showGridLines="0" zoomScale="115" zoomScaleNormal="11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27" sqref="H27"/>
    </sheetView>
  </sheetViews>
  <sheetFormatPr defaultRowHeight="15"/>
  <cols>
    <col min="1" max="1" width="19.7109375" style="1" customWidth="1"/>
    <col min="2" max="2" width="7.5703125" style="1" customWidth="1"/>
    <col min="3" max="3" width="12.28515625" style="1" bestFit="1" customWidth="1"/>
    <col min="4" max="4" width="7.42578125" style="1" customWidth="1"/>
    <col min="5" max="5" width="2.85546875" style="1" customWidth="1"/>
    <col min="6" max="36" width="11.85546875" style="2" customWidth="1"/>
    <col min="37" max="37" width="2.85546875" style="1" customWidth="1"/>
    <col min="38" max="70" width="9.140625" style="1"/>
  </cols>
  <sheetData>
    <row r="2" spans="1:37">
      <c r="A2" s="16"/>
      <c r="B2" s="16"/>
      <c r="C2" s="16"/>
      <c r="D2" s="16"/>
      <c r="E2" s="17"/>
      <c r="F2" s="17">
        <v>2013</v>
      </c>
      <c r="G2" s="17">
        <v>2013</v>
      </c>
      <c r="H2" s="17">
        <v>2013</v>
      </c>
      <c r="I2" s="17">
        <v>2013</v>
      </c>
      <c r="J2" s="17">
        <v>2013</v>
      </c>
      <c r="K2" s="17">
        <v>2013</v>
      </c>
      <c r="L2" s="17">
        <v>2013</v>
      </c>
      <c r="M2" s="17">
        <v>2013</v>
      </c>
      <c r="N2" s="17">
        <v>2013</v>
      </c>
      <c r="O2" s="17">
        <v>2013</v>
      </c>
      <c r="P2" s="17">
        <v>2013</v>
      </c>
      <c r="Q2" s="17">
        <v>2013</v>
      </c>
      <c r="R2" s="17">
        <v>2014</v>
      </c>
      <c r="S2" s="17">
        <v>2014</v>
      </c>
      <c r="T2" s="17">
        <v>2014</v>
      </c>
      <c r="U2" s="17">
        <v>2014</v>
      </c>
      <c r="V2" s="17">
        <v>2014</v>
      </c>
      <c r="W2" s="17">
        <v>2014</v>
      </c>
      <c r="X2" s="17">
        <v>2014</v>
      </c>
      <c r="Y2" s="17">
        <v>2014</v>
      </c>
      <c r="Z2" s="17">
        <v>2014</v>
      </c>
      <c r="AA2" s="17">
        <v>2014</v>
      </c>
      <c r="AB2" s="17">
        <v>2014</v>
      </c>
      <c r="AC2" s="17">
        <v>2014</v>
      </c>
      <c r="AD2" s="17">
        <v>2015</v>
      </c>
      <c r="AE2" s="17">
        <v>2015</v>
      </c>
      <c r="AF2" s="17">
        <v>2015</v>
      </c>
      <c r="AG2" s="17">
        <v>2015</v>
      </c>
      <c r="AH2" s="17">
        <v>2015</v>
      </c>
      <c r="AI2" s="17">
        <v>2015</v>
      </c>
      <c r="AJ2" s="17">
        <v>2015</v>
      </c>
      <c r="AK2" s="49"/>
    </row>
    <row r="3" spans="1:37">
      <c r="A3" s="18" t="s">
        <v>0</v>
      </c>
      <c r="B3" s="18" t="s">
        <v>1</v>
      </c>
      <c r="C3" s="24" t="s">
        <v>2</v>
      </c>
      <c r="D3" s="18" t="s">
        <v>14</v>
      </c>
      <c r="E3" s="17"/>
      <c r="F3" s="19" t="s">
        <v>17</v>
      </c>
      <c r="G3" s="19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9" t="s">
        <v>23</v>
      </c>
      <c r="M3" s="19" t="s">
        <v>24</v>
      </c>
      <c r="N3" s="19" t="s">
        <v>25</v>
      </c>
      <c r="O3" s="19" t="s">
        <v>26</v>
      </c>
      <c r="P3" s="19" t="s">
        <v>27</v>
      </c>
      <c r="Q3" s="19" t="s">
        <v>28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19" t="s">
        <v>27</v>
      </c>
      <c r="AC3" s="19" t="s">
        <v>28</v>
      </c>
      <c r="AD3" s="19" t="s">
        <v>17</v>
      </c>
      <c r="AE3" s="19" t="s">
        <v>18</v>
      </c>
      <c r="AF3" s="19" t="s">
        <v>19</v>
      </c>
      <c r="AG3" s="19" t="s">
        <v>20</v>
      </c>
      <c r="AH3" s="19" t="s">
        <v>21</v>
      </c>
      <c r="AI3" s="19" t="s">
        <v>22</v>
      </c>
      <c r="AJ3" s="19" t="s">
        <v>23</v>
      </c>
      <c r="AK3" s="49"/>
    </row>
    <row r="4" spans="1:37">
      <c r="C4" s="20"/>
      <c r="E4" s="3"/>
      <c r="AK4" s="3"/>
    </row>
    <row r="5" spans="1:37">
      <c r="A5" s="10" t="s">
        <v>11</v>
      </c>
      <c r="B5" s="10" t="s">
        <v>12</v>
      </c>
      <c r="C5" s="21">
        <v>1000</v>
      </c>
      <c r="D5" s="10" t="s">
        <v>3</v>
      </c>
      <c r="E5" s="11"/>
      <c r="F5" s="50">
        <v>6494215</v>
      </c>
      <c r="G5" s="50">
        <v>6546146</v>
      </c>
      <c r="H5" s="50">
        <v>3492961</v>
      </c>
      <c r="I5" s="50">
        <v>5471159</v>
      </c>
      <c r="J5" s="50">
        <v>2958064</v>
      </c>
      <c r="K5" s="50">
        <v>8625222</v>
      </c>
      <c r="L5" s="50">
        <v>6170015</v>
      </c>
      <c r="M5" s="50">
        <v>8139200</v>
      </c>
      <c r="N5" s="50">
        <v>5208065</v>
      </c>
      <c r="O5" s="50">
        <v>7056444.3928571399</v>
      </c>
      <c r="P5" s="50">
        <v>7302020.0357142901</v>
      </c>
      <c r="Q5" s="50">
        <v>7547595.67857143</v>
      </c>
      <c r="R5" s="50">
        <v>6873453.3000000007</v>
      </c>
      <c r="S5" s="50">
        <v>3283383.34</v>
      </c>
      <c r="T5" s="50">
        <v>4376927.2</v>
      </c>
      <c r="U5" s="50">
        <v>4551773.5999999996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11"/>
    </row>
    <row r="6" spans="1:37">
      <c r="A6" s="14"/>
      <c r="B6" s="14"/>
      <c r="C6" s="22"/>
      <c r="D6" s="14" t="s">
        <v>4</v>
      </c>
      <c r="E6" s="15"/>
      <c r="F6" s="51">
        <v>4430020</v>
      </c>
      <c r="G6" s="51">
        <v>8809712</v>
      </c>
      <c r="H6" s="51">
        <v>2911324</v>
      </c>
      <c r="I6" s="51">
        <v>7528417</v>
      </c>
      <c r="J6" s="51">
        <v>7508186</v>
      </c>
      <c r="K6" s="51">
        <v>5318628</v>
      </c>
      <c r="L6" s="51">
        <v>5538681</v>
      </c>
      <c r="M6" s="51">
        <v>2069613</v>
      </c>
      <c r="N6" s="51">
        <v>3466019</v>
      </c>
      <c r="O6" s="51">
        <v>7505377</v>
      </c>
      <c r="P6" s="51">
        <v>3505833</v>
      </c>
      <c r="Q6" s="51">
        <v>7846167</v>
      </c>
      <c r="R6" s="51">
        <v>6983788</v>
      </c>
      <c r="S6" s="51">
        <v>7895827</v>
      </c>
      <c r="T6" s="51">
        <v>7130132</v>
      </c>
      <c r="U6" s="51">
        <v>9389058</v>
      </c>
      <c r="V6" s="51">
        <v>3286228</v>
      </c>
      <c r="W6" s="51">
        <v>8715654</v>
      </c>
      <c r="X6" s="51">
        <v>6022593</v>
      </c>
      <c r="Y6" s="51">
        <v>1707873</v>
      </c>
      <c r="Z6" s="51">
        <v>7916873</v>
      </c>
      <c r="AA6" s="51">
        <v>4427438</v>
      </c>
      <c r="AB6" s="51">
        <v>7652678</v>
      </c>
      <c r="AC6" s="51">
        <v>8195503</v>
      </c>
      <c r="AD6" s="51">
        <v>8604087</v>
      </c>
      <c r="AE6" s="51">
        <v>3362777</v>
      </c>
      <c r="AF6" s="51">
        <v>4805878</v>
      </c>
      <c r="AG6" s="51">
        <v>8844436</v>
      </c>
      <c r="AH6" s="51">
        <v>9906766</v>
      </c>
      <c r="AI6" s="51">
        <v>8824270</v>
      </c>
      <c r="AJ6" s="51">
        <v>6552130</v>
      </c>
      <c r="AK6" s="15"/>
    </row>
    <row r="7" spans="1:37">
      <c r="A7" s="10"/>
      <c r="B7" s="10"/>
      <c r="C7" s="21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1"/>
    </row>
    <row r="8" spans="1:37">
      <c r="A8" s="10" t="s">
        <v>68</v>
      </c>
      <c r="B8" s="10" t="s">
        <v>12</v>
      </c>
      <c r="C8" s="21">
        <v>1000</v>
      </c>
      <c r="D8" s="10" t="s">
        <v>3</v>
      </c>
      <c r="E8" s="11"/>
      <c r="F8" s="50">
        <v>1273144</v>
      </c>
      <c r="G8" s="50">
        <v>2218020</v>
      </c>
      <c r="H8" s="50">
        <v>1761170</v>
      </c>
      <c r="I8" s="50">
        <v>2995980</v>
      </c>
      <c r="J8" s="50">
        <v>3837333</v>
      </c>
      <c r="K8" s="50">
        <v>2163867</v>
      </c>
      <c r="L8" s="50">
        <v>2794981</v>
      </c>
      <c r="M8" s="50">
        <v>2479491</v>
      </c>
      <c r="N8" s="50">
        <v>1785436</v>
      </c>
      <c r="O8" s="50">
        <v>1769462</v>
      </c>
      <c r="P8" s="50">
        <v>2763656</v>
      </c>
      <c r="Q8" s="50">
        <v>2783166</v>
      </c>
      <c r="R8" s="50">
        <v>1803369</v>
      </c>
      <c r="S8" s="50">
        <v>1437786</v>
      </c>
      <c r="T8" s="50">
        <v>1987102</v>
      </c>
      <c r="U8" s="50">
        <v>1070881</v>
      </c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11"/>
    </row>
    <row r="9" spans="1:37">
      <c r="A9" s="14"/>
      <c r="B9" s="14"/>
      <c r="C9" s="22"/>
      <c r="D9" s="14" t="s">
        <v>4</v>
      </c>
      <c r="E9" s="15"/>
      <c r="F9" s="51">
        <v>1502409</v>
      </c>
      <c r="G9" s="51">
        <v>2499951</v>
      </c>
      <c r="H9" s="51">
        <v>1339741</v>
      </c>
      <c r="I9" s="51">
        <v>1550094</v>
      </c>
      <c r="J9" s="51">
        <v>2226296</v>
      </c>
      <c r="K9" s="51">
        <v>2600756</v>
      </c>
      <c r="L9" s="51">
        <v>2924865</v>
      </c>
      <c r="M9" s="51">
        <v>1619524</v>
      </c>
      <c r="N9" s="51">
        <v>2577477</v>
      </c>
      <c r="O9" s="51">
        <v>1021467</v>
      </c>
      <c r="P9" s="51">
        <v>1027746</v>
      </c>
      <c r="Q9" s="51">
        <v>2346544</v>
      </c>
      <c r="R9" s="51">
        <v>2636832</v>
      </c>
      <c r="S9" s="51">
        <v>1754588</v>
      </c>
      <c r="T9" s="51">
        <v>2225983</v>
      </c>
      <c r="U9" s="51">
        <v>2149077</v>
      </c>
      <c r="V9" s="51">
        <v>2410998</v>
      </c>
      <c r="W9" s="51">
        <v>1108516</v>
      </c>
      <c r="X9" s="51">
        <v>1918118</v>
      </c>
      <c r="Y9" s="51">
        <v>1042082</v>
      </c>
      <c r="Z9" s="51">
        <v>2377478</v>
      </c>
      <c r="AA9" s="51">
        <v>1145807</v>
      </c>
      <c r="AB9" s="51">
        <v>2070193</v>
      </c>
      <c r="AC9" s="51">
        <v>1401781</v>
      </c>
      <c r="AD9" s="51">
        <v>1932313</v>
      </c>
      <c r="AE9" s="51">
        <v>2669511</v>
      </c>
      <c r="AF9" s="51">
        <v>1967374</v>
      </c>
      <c r="AG9" s="51">
        <v>2160655</v>
      </c>
      <c r="AH9" s="51">
        <v>2230065</v>
      </c>
      <c r="AI9" s="51">
        <v>2120767</v>
      </c>
      <c r="AJ9" s="51">
        <v>1548660</v>
      </c>
      <c r="AK9" s="15"/>
    </row>
    <row r="10" spans="1:37">
      <c r="A10" s="10"/>
      <c r="B10" s="10"/>
      <c r="C10" s="21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</row>
    <row r="11" spans="1:37">
      <c r="A11" s="10" t="s">
        <v>69</v>
      </c>
      <c r="B11" s="10" t="s">
        <v>12</v>
      </c>
      <c r="C11" s="21">
        <v>1000</v>
      </c>
      <c r="D11" s="10" t="s">
        <v>3</v>
      </c>
      <c r="E11" s="11"/>
      <c r="F11" s="50">
        <f t="shared" ref="F11:U11" si="0">F5-F8</f>
        <v>5221071</v>
      </c>
      <c r="G11" s="50">
        <f t="shared" si="0"/>
        <v>4328126</v>
      </c>
      <c r="H11" s="50">
        <f t="shared" si="0"/>
        <v>1731791</v>
      </c>
      <c r="I11" s="50">
        <f t="shared" si="0"/>
        <v>2475179</v>
      </c>
      <c r="J11" s="50">
        <f t="shared" si="0"/>
        <v>-879269</v>
      </c>
      <c r="K11" s="50">
        <f t="shared" si="0"/>
        <v>6461355</v>
      </c>
      <c r="L11" s="50">
        <f t="shared" si="0"/>
        <v>3375034</v>
      </c>
      <c r="M11" s="50">
        <f t="shared" si="0"/>
        <v>5659709</v>
      </c>
      <c r="N11" s="50">
        <f t="shared" si="0"/>
        <v>3422629</v>
      </c>
      <c r="O11" s="50">
        <f t="shared" si="0"/>
        <v>5286982.3928571399</v>
      </c>
      <c r="P11" s="50">
        <f t="shared" si="0"/>
        <v>4538364.0357142901</v>
      </c>
      <c r="Q11" s="50">
        <f t="shared" si="0"/>
        <v>4764429.67857143</v>
      </c>
      <c r="R11" s="50">
        <f t="shared" si="0"/>
        <v>5070084.3000000007</v>
      </c>
      <c r="S11" s="50">
        <f t="shared" si="0"/>
        <v>1845597.3399999999</v>
      </c>
      <c r="T11" s="50">
        <f t="shared" si="0"/>
        <v>2389825.2000000002</v>
      </c>
      <c r="U11" s="50">
        <f t="shared" si="0"/>
        <v>3480892.5999999996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11"/>
    </row>
    <row r="12" spans="1:37">
      <c r="A12" s="14"/>
      <c r="B12" s="14"/>
      <c r="C12" s="22"/>
      <c r="D12" s="14" t="s">
        <v>4</v>
      </c>
      <c r="E12" s="15"/>
      <c r="F12" s="51">
        <f t="shared" ref="F12:AJ12" si="1">F6-F9</f>
        <v>2927611</v>
      </c>
      <c r="G12" s="51">
        <f t="shared" si="1"/>
        <v>6309761</v>
      </c>
      <c r="H12" s="51">
        <f t="shared" si="1"/>
        <v>1571583</v>
      </c>
      <c r="I12" s="51">
        <f t="shared" si="1"/>
        <v>5978323</v>
      </c>
      <c r="J12" s="51">
        <f t="shared" si="1"/>
        <v>5281890</v>
      </c>
      <c r="K12" s="51">
        <f t="shared" si="1"/>
        <v>2717872</v>
      </c>
      <c r="L12" s="51">
        <f t="shared" si="1"/>
        <v>2613816</v>
      </c>
      <c r="M12" s="51">
        <f t="shared" si="1"/>
        <v>450089</v>
      </c>
      <c r="N12" s="51">
        <f t="shared" si="1"/>
        <v>888542</v>
      </c>
      <c r="O12" s="51">
        <f t="shared" si="1"/>
        <v>6483910</v>
      </c>
      <c r="P12" s="51">
        <f t="shared" si="1"/>
        <v>2478087</v>
      </c>
      <c r="Q12" s="51">
        <f t="shared" si="1"/>
        <v>5499623</v>
      </c>
      <c r="R12" s="51">
        <f t="shared" si="1"/>
        <v>4346956</v>
      </c>
      <c r="S12" s="51">
        <f t="shared" si="1"/>
        <v>6141239</v>
      </c>
      <c r="T12" s="51">
        <f t="shared" si="1"/>
        <v>4904149</v>
      </c>
      <c r="U12" s="51">
        <f t="shared" si="1"/>
        <v>7239981</v>
      </c>
      <c r="V12" s="51">
        <f t="shared" si="1"/>
        <v>875230</v>
      </c>
      <c r="W12" s="51">
        <f t="shared" si="1"/>
        <v>7607138</v>
      </c>
      <c r="X12" s="51">
        <f t="shared" si="1"/>
        <v>4104475</v>
      </c>
      <c r="Y12" s="51">
        <f t="shared" si="1"/>
        <v>665791</v>
      </c>
      <c r="Z12" s="51">
        <f t="shared" si="1"/>
        <v>5539395</v>
      </c>
      <c r="AA12" s="51">
        <f t="shared" si="1"/>
        <v>3281631</v>
      </c>
      <c r="AB12" s="51">
        <f t="shared" si="1"/>
        <v>5582485</v>
      </c>
      <c r="AC12" s="51">
        <f t="shared" si="1"/>
        <v>6793722</v>
      </c>
      <c r="AD12" s="51">
        <f t="shared" si="1"/>
        <v>6671774</v>
      </c>
      <c r="AE12" s="51">
        <f t="shared" si="1"/>
        <v>693266</v>
      </c>
      <c r="AF12" s="51">
        <f t="shared" si="1"/>
        <v>2838504</v>
      </c>
      <c r="AG12" s="51">
        <f t="shared" si="1"/>
        <v>6683781</v>
      </c>
      <c r="AH12" s="51">
        <f t="shared" si="1"/>
        <v>7676701</v>
      </c>
      <c r="AI12" s="51">
        <f t="shared" si="1"/>
        <v>6703503</v>
      </c>
      <c r="AJ12" s="51">
        <f t="shared" si="1"/>
        <v>5003470</v>
      </c>
      <c r="AK12" s="15"/>
    </row>
    <row r="13" spans="1:37">
      <c r="A13" s="10"/>
      <c r="B13" s="10"/>
      <c r="C13" s="21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</row>
    <row r="14" spans="1:37">
      <c r="A14" s="10" t="s">
        <v>70</v>
      </c>
      <c r="B14" s="10" t="s">
        <v>15</v>
      </c>
      <c r="C14" s="21">
        <v>1</v>
      </c>
      <c r="D14" s="10" t="s">
        <v>3</v>
      </c>
      <c r="E14" s="11"/>
      <c r="F14" s="95">
        <f t="shared" ref="F14:U14" si="2">F11/F5</f>
        <v>0.80395721422835553</v>
      </c>
      <c r="G14" s="95">
        <f t="shared" si="2"/>
        <v>0.66117162678620367</v>
      </c>
      <c r="H14" s="95">
        <f t="shared" si="2"/>
        <v>0.49579454222363206</v>
      </c>
      <c r="I14" s="95">
        <f t="shared" si="2"/>
        <v>0.45240487436025895</v>
      </c>
      <c r="J14" s="95">
        <f t="shared" si="2"/>
        <v>-0.297244751972912</v>
      </c>
      <c r="K14" s="95">
        <f t="shared" si="2"/>
        <v>0.74912332691262906</v>
      </c>
      <c r="L14" s="95">
        <f t="shared" si="2"/>
        <v>0.54700580144456701</v>
      </c>
      <c r="M14" s="95">
        <f t="shared" si="2"/>
        <v>0.69536428641635539</v>
      </c>
      <c r="N14" s="95">
        <f t="shared" si="2"/>
        <v>0.6571786258428034</v>
      </c>
      <c r="O14" s="95">
        <f t="shared" si="2"/>
        <v>0.74924169999962997</v>
      </c>
      <c r="P14" s="95">
        <f t="shared" si="2"/>
        <v>0.62152171775989151</v>
      </c>
      <c r="Q14" s="95">
        <f t="shared" si="2"/>
        <v>0.63125131253363809</v>
      </c>
      <c r="R14" s="95">
        <f t="shared" si="2"/>
        <v>0.73763275586669075</v>
      </c>
      <c r="S14" s="95">
        <f t="shared" si="2"/>
        <v>0.56210230389973292</v>
      </c>
      <c r="T14" s="95">
        <f t="shared" si="2"/>
        <v>0.54600524313038612</v>
      </c>
      <c r="U14" s="95">
        <f t="shared" si="2"/>
        <v>0.76473324595933323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11"/>
    </row>
    <row r="15" spans="1:37">
      <c r="A15" s="14"/>
      <c r="B15" s="14"/>
      <c r="C15" s="22"/>
      <c r="D15" s="14" t="s">
        <v>4</v>
      </c>
      <c r="E15" s="15"/>
      <c r="F15" s="96">
        <f t="shared" ref="F15:AJ15" si="3">F12/F6</f>
        <v>0.66085728732601656</v>
      </c>
      <c r="G15" s="96">
        <f t="shared" si="3"/>
        <v>0.71622784036526965</v>
      </c>
      <c r="H15" s="96">
        <f t="shared" si="3"/>
        <v>0.53981727901119902</v>
      </c>
      <c r="I15" s="96">
        <f t="shared" si="3"/>
        <v>0.79410093781999591</v>
      </c>
      <c r="J15" s="96">
        <f t="shared" si="3"/>
        <v>0.70348417047739631</v>
      </c>
      <c r="K15" s="96">
        <f t="shared" si="3"/>
        <v>0.51100998227362393</v>
      </c>
      <c r="L15" s="96">
        <f t="shared" si="3"/>
        <v>0.47192030015810621</v>
      </c>
      <c r="M15" s="96">
        <f t="shared" si="3"/>
        <v>0.21747495787859855</v>
      </c>
      <c r="N15" s="96">
        <f t="shared" si="3"/>
        <v>0.25635808690027378</v>
      </c>
      <c r="O15" s="96">
        <f t="shared" si="3"/>
        <v>0.86390197321200524</v>
      </c>
      <c r="P15" s="96">
        <f t="shared" si="3"/>
        <v>0.70684684638429729</v>
      </c>
      <c r="Q15" s="96">
        <f t="shared" si="3"/>
        <v>0.70093116804676725</v>
      </c>
      <c r="R15" s="96">
        <f t="shared" si="3"/>
        <v>0.62243527438118107</v>
      </c>
      <c r="S15" s="96">
        <f t="shared" si="3"/>
        <v>0.77778287188916373</v>
      </c>
      <c r="T15" s="96">
        <f t="shared" si="3"/>
        <v>0.68780620050231889</v>
      </c>
      <c r="U15" s="96">
        <f t="shared" si="3"/>
        <v>0.77110834761059099</v>
      </c>
      <c r="V15" s="96">
        <f t="shared" si="3"/>
        <v>0.26633270728628688</v>
      </c>
      <c r="W15" s="96">
        <f t="shared" si="3"/>
        <v>0.87281321631170761</v>
      </c>
      <c r="X15" s="96">
        <f t="shared" si="3"/>
        <v>0.68151292972976918</v>
      </c>
      <c r="Y15" s="96">
        <f t="shared" si="3"/>
        <v>0.38983636371088481</v>
      </c>
      <c r="Z15" s="96">
        <f t="shared" si="3"/>
        <v>0.69969481637510167</v>
      </c>
      <c r="AA15" s="96">
        <f t="shared" si="3"/>
        <v>0.74120315180020591</v>
      </c>
      <c r="AB15" s="96">
        <f t="shared" si="3"/>
        <v>0.72948123519635866</v>
      </c>
      <c r="AC15" s="96">
        <f t="shared" si="3"/>
        <v>0.8289572952386205</v>
      </c>
      <c r="AD15" s="96">
        <f t="shared" si="3"/>
        <v>0.77541916998282323</v>
      </c>
      <c r="AE15" s="96">
        <f t="shared" si="3"/>
        <v>0.20615877889018511</v>
      </c>
      <c r="AF15" s="96">
        <f t="shared" si="3"/>
        <v>0.59063172223681082</v>
      </c>
      <c r="AG15" s="96">
        <f t="shared" si="3"/>
        <v>0.7557046034365561</v>
      </c>
      <c r="AH15" s="96">
        <f t="shared" si="3"/>
        <v>0.77489475374708561</v>
      </c>
      <c r="AI15" s="96">
        <f t="shared" si="3"/>
        <v>0.75966657865183185</v>
      </c>
      <c r="AJ15" s="96">
        <f t="shared" si="3"/>
        <v>0.76364022081368954</v>
      </c>
      <c r="AK15" s="15"/>
    </row>
    <row r="16" spans="1:37">
      <c r="A16" s="10"/>
      <c r="B16" s="10"/>
      <c r="C16" s="21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</row>
    <row r="17" spans="1:37">
      <c r="A17" s="10" t="s">
        <v>71</v>
      </c>
      <c r="B17" s="10" t="s">
        <v>15</v>
      </c>
      <c r="C17" s="21">
        <v>1000</v>
      </c>
      <c r="D17" s="10" t="s">
        <v>3</v>
      </c>
      <c r="E17" s="11"/>
      <c r="F17" s="50">
        <v>5822957</v>
      </c>
      <c r="G17" s="50">
        <v>4919576</v>
      </c>
      <c r="H17" s="50">
        <v>2390738</v>
      </c>
      <c r="I17" s="50">
        <v>3007905</v>
      </c>
      <c r="J17" s="50">
        <v>-323354</v>
      </c>
      <c r="K17" s="50">
        <v>7022742</v>
      </c>
      <c r="L17" s="50">
        <v>4017541</v>
      </c>
      <c r="M17" s="50">
        <v>6176282</v>
      </c>
      <c r="N17" s="50">
        <v>4092757</v>
      </c>
      <c r="O17" s="50">
        <v>5807291.3928571399</v>
      </c>
      <c r="P17" s="50">
        <v>5236904.0357142901</v>
      </c>
      <c r="Q17" s="50">
        <v>5305634.67857143</v>
      </c>
      <c r="R17" s="50">
        <v>5762832.3000000007</v>
      </c>
      <c r="S17" s="50">
        <v>2495907.34</v>
      </c>
      <c r="T17" s="50">
        <v>2957358.2</v>
      </c>
      <c r="U17" s="50">
        <v>4005195.5999999996</v>
      </c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11"/>
    </row>
    <row r="18" spans="1:37">
      <c r="A18" s="10"/>
      <c r="B18" s="10"/>
      <c r="C18" s="21"/>
      <c r="D18" s="10" t="s">
        <v>4</v>
      </c>
      <c r="E18" s="11"/>
      <c r="F18" s="50">
        <v>3561636</v>
      </c>
      <c r="G18" s="50">
        <v>6932112</v>
      </c>
      <c r="H18" s="50">
        <v>2187163</v>
      </c>
      <c r="I18" s="50">
        <v>6589495</v>
      </c>
      <c r="J18" s="50">
        <v>5850891</v>
      </c>
      <c r="K18" s="50">
        <v>3252809</v>
      </c>
      <c r="L18" s="50">
        <v>3141684</v>
      </c>
      <c r="M18" s="50">
        <v>983012</v>
      </c>
      <c r="N18" s="50">
        <v>1455722</v>
      </c>
      <c r="O18" s="50">
        <v>7171940</v>
      </c>
      <c r="P18" s="50">
        <v>2993698</v>
      </c>
      <c r="Q18" s="50">
        <v>6034746</v>
      </c>
      <c r="R18" s="50">
        <v>5033695</v>
      </c>
      <c r="S18" s="50">
        <v>6678311</v>
      </c>
      <c r="T18" s="50">
        <v>5524353</v>
      </c>
      <c r="U18" s="50">
        <v>7937075</v>
      </c>
      <c r="V18" s="50">
        <v>1540666</v>
      </c>
      <c r="W18" s="50">
        <v>8279350</v>
      </c>
      <c r="X18" s="50">
        <v>4688118</v>
      </c>
      <c r="Y18" s="50">
        <v>1329822</v>
      </c>
      <c r="Z18" s="50">
        <v>6160302</v>
      </c>
      <c r="AA18" s="50">
        <v>3826877</v>
      </c>
      <c r="AB18" s="50">
        <v>6140017</v>
      </c>
      <c r="AC18" s="50">
        <v>7408944</v>
      </c>
      <c r="AD18" s="50">
        <v>7328303</v>
      </c>
      <c r="AE18" s="50">
        <v>1220120</v>
      </c>
      <c r="AF18" s="50">
        <v>3431677</v>
      </c>
      <c r="AG18" s="50">
        <v>7186534</v>
      </c>
      <c r="AH18" s="50">
        <v>8273843</v>
      </c>
      <c r="AI18" s="50">
        <v>7254319</v>
      </c>
      <c r="AJ18" s="50">
        <v>5680268</v>
      </c>
      <c r="AK18" s="11"/>
    </row>
    <row r="19" spans="1:37">
      <c r="A19" s="10"/>
      <c r="B19" s="10"/>
      <c r="C19" s="21"/>
      <c r="D19" s="10"/>
      <c r="E19" s="11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11"/>
    </row>
    <row r="20" spans="1:37">
      <c r="A20" s="10"/>
      <c r="B20" s="10"/>
      <c r="C20" s="21"/>
      <c r="D20" s="10"/>
      <c r="E20" s="11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11"/>
    </row>
    <row r="21" spans="1:37">
      <c r="A21" s="10"/>
      <c r="B21" s="10"/>
      <c r="C21" s="21"/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</row>
    <row r="22" spans="1:37">
      <c r="A22" s="11"/>
      <c r="B22" s="11"/>
      <c r="C22" s="23"/>
      <c r="D22" s="11"/>
      <c r="E22" s="11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1"/>
    </row>
  </sheetData>
  <dataValidations count="4">
    <dataValidation type="list" allowBlank="1" showInputMessage="1" showErrorMessage="1" errorTitle="Ограничение на ввод" error="Здесь можно указать только:_x000a_%,_x000a_1 000,_x000a_1 000 000,_x000a_1 000 000 000," sqref="C4:C22">
      <formula1>INDIRECT("делитель[делитель]")</formula1>
    </dataValidation>
    <dataValidation type="list" allowBlank="1" showInputMessage="1" showErrorMessage="1" sqref="E2:AK2">
      <formula1>INDIRECT("период[год]")</formula1>
    </dataValidation>
    <dataValidation type="list" allowBlank="1" showInputMessage="1" showErrorMessage="1" sqref="E3:AK3">
      <formula1>INDIRECT("период[месяц]")</formula1>
    </dataValidation>
    <dataValidation type="list" allowBlank="1" showInputMessage="1" showErrorMessage="1" errorTitle="Ограничен выбор" error="Внимание, выбор вариантов показателей ограничен." sqref="A3:A22">
      <formula1>INDIRECT("списки[списки]")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2:I19"/>
  <sheetViews>
    <sheetView showGridLines="0" workbookViewId="0">
      <selection activeCell="I5" sqref="I5"/>
    </sheetView>
  </sheetViews>
  <sheetFormatPr defaultRowHeight="15"/>
  <cols>
    <col min="1" max="1" width="25.140625" customWidth="1"/>
    <col min="2" max="2" width="2.28515625" customWidth="1"/>
    <col min="3" max="3" width="25.140625" customWidth="1"/>
    <col min="4" max="4" width="2.28515625" customWidth="1"/>
    <col min="5" max="5" width="25" customWidth="1"/>
    <col min="6" max="6" width="2.28515625" customWidth="1"/>
    <col min="7" max="7" width="25" customWidth="1"/>
    <col min="8" max="8" width="2.28515625" customWidth="1"/>
    <col min="9" max="9" width="25" customWidth="1"/>
    <col min="10" max="10" width="2.28515625" customWidth="1"/>
  </cols>
  <sheetData>
    <row r="2" spans="1:9">
      <c r="A2" s="76" t="s">
        <v>44</v>
      </c>
      <c r="B2" s="76"/>
      <c r="C2" s="76"/>
      <c r="D2" s="76"/>
      <c r="E2" s="76"/>
      <c r="F2" s="76"/>
      <c r="G2" s="76"/>
      <c r="H2" s="76"/>
      <c r="I2" s="76"/>
    </row>
    <row r="4" spans="1:9">
      <c r="C4" s="6">
        <v>1</v>
      </c>
      <c r="E4" s="6">
        <v>2</v>
      </c>
      <c r="G4" s="6">
        <v>3</v>
      </c>
      <c r="I4" s="6">
        <v>4</v>
      </c>
    </row>
    <row r="5" spans="1:9">
      <c r="A5" t="s">
        <v>0</v>
      </c>
      <c r="C5" s="4" t="s">
        <v>11</v>
      </c>
      <c r="E5" s="4" t="s">
        <v>68</v>
      </c>
      <c r="G5" s="4" t="s">
        <v>69</v>
      </c>
      <c r="I5" s="4" t="s">
        <v>70</v>
      </c>
    </row>
    <row r="6" spans="1:9">
      <c r="A6" s="70" t="s">
        <v>34</v>
      </c>
      <c r="C6" s="5"/>
      <c r="E6" s="5"/>
      <c r="G6" s="5"/>
      <c r="I6" s="5"/>
    </row>
    <row r="8" spans="1:9">
      <c r="C8" s="7">
        <v>5</v>
      </c>
      <c r="D8" s="8"/>
      <c r="E8" s="7">
        <v>6</v>
      </c>
      <c r="F8" s="8"/>
      <c r="G8" s="7">
        <v>7</v>
      </c>
      <c r="H8" s="8"/>
      <c r="I8" s="7">
        <v>8</v>
      </c>
    </row>
    <row r="9" spans="1:9">
      <c r="C9" s="4"/>
      <c r="E9" s="4"/>
      <c r="G9" s="4"/>
      <c r="I9" s="4"/>
    </row>
    <row r="10" spans="1:9">
      <c r="C10" s="5"/>
      <c r="E10" s="5"/>
      <c r="G10" s="5"/>
      <c r="I10" s="5"/>
    </row>
    <row r="13" spans="1:9">
      <c r="A13" s="76" t="s">
        <v>45</v>
      </c>
      <c r="B13" s="76"/>
      <c r="C13" s="76"/>
      <c r="D13" s="76"/>
      <c r="E13" s="76"/>
      <c r="F13" s="76"/>
      <c r="G13" s="76"/>
      <c r="H13" s="76"/>
      <c r="I13" s="76"/>
    </row>
    <row r="15" spans="1:9">
      <c r="A15" s="72" t="s">
        <v>46</v>
      </c>
      <c r="B15" s="72"/>
    </row>
    <row r="16" spans="1:9">
      <c r="A16" t="s">
        <v>47</v>
      </c>
    </row>
    <row r="17" spans="1:2">
      <c r="A17" s="72" t="s">
        <v>48</v>
      </c>
      <c r="B17" s="72"/>
    </row>
    <row r="18" spans="1:2">
      <c r="A18" t="s">
        <v>49</v>
      </c>
    </row>
    <row r="19" spans="1:2">
      <c r="A19" s="72" t="s">
        <v>50</v>
      </c>
      <c r="B19" s="72"/>
    </row>
  </sheetData>
  <conditionalFormatting sqref="C5 E5 G5 I5 C9 E9 G9 I9">
    <cfRule type="duplicateValues" dxfId="0" priority="1"/>
  </conditionalFormatting>
  <dataValidations count="1">
    <dataValidation type="list" allowBlank="1" showInputMessage="1" showErrorMessage="1" sqref="C5 E5 G5 I5">
      <formula1>INDIRECT("списки")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B2:R58"/>
  <sheetViews>
    <sheetView workbookViewId="0">
      <selection activeCell="G13" sqref="G13"/>
    </sheetView>
  </sheetViews>
  <sheetFormatPr defaultRowHeight="15"/>
  <cols>
    <col min="1" max="1" width="2.42578125" customWidth="1"/>
    <col min="2" max="4" width="9.140625" style="25"/>
    <col min="5" max="5" width="9.140625" style="34"/>
    <col min="6" max="18" width="11.42578125" style="25" customWidth="1"/>
  </cols>
  <sheetData>
    <row r="2" spans="2:18">
      <c r="B2" s="25" t="s">
        <v>29</v>
      </c>
    </row>
    <row r="3" spans="2:18">
      <c r="B3" s="35"/>
      <c r="C3" s="28"/>
      <c r="D3" s="28"/>
      <c r="E3" s="3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45"/>
    </row>
    <row r="4" spans="2:18">
      <c r="B4" s="37"/>
      <c r="C4" s="38"/>
      <c r="D4" s="38"/>
      <c r="E4" s="39" t="s">
        <v>10</v>
      </c>
      <c r="F4" s="47">
        <f t="shared" ref="F4:R4" si="0">INDEX(ввод_периоды,1,F$9)</f>
        <v>2013</v>
      </c>
      <c r="G4" s="47">
        <f t="shared" si="0"/>
        <v>2013</v>
      </c>
      <c r="H4" s="47">
        <f t="shared" si="0"/>
        <v>2013</v>
      </c>
      <c r="I4" s="47">
        <f t="shared" si="0"/>
        <v>2013</v>
      </c>
      <c r="J4" s="47">
        <f t="shared" si="0"/>
        <v>2013</v>
      </c>
      <c r="K4" s="47">
        <f t="shared" si="0"/>
        <v>2013</v>
      </c>
      <c r="L4" s="47">
        <f t="shared" si="0"/>
        <v>2013</v>
      </c>
      <c r="M4" s="47">
        <f t="shared" si="0"/>
        <v>2013</v>
      </c>
      <c r="N4" s="47">
        <f t="shared" si="0"/>
        <v>2013</v>
      </c>
      <c r="O4" s="47">
        <f t="shared" si="0"/>
        <v>2013</v>
      </c>
      <c r="P4" s="47">
        <f t="shared" si="0"/>
        <v>2013</v>
      </c>
      <c r="Q4" s="47">
        <f t="shared" si="0"/>
        <v>2013</v>
      </c>
      <c r="R4" s="48">
        <f t="shared" si="0"/>
        <v>2014</v>
      </c>
    </row>
    <row r="5" spans="2:18">
      <c r="B5" s="37"/>
      <c r="C5" s="38"/>
      <c r="D5" s="38"/>
      <c r="E5" s="39" t="s">
        <v>16</v>
      </c>
      <c r="F5" s="27">
        <f>MATCH(INDEX(ввод_периоды,2,F$9),период[месяц],0)</f>
        <v>1</v>
      </c>
      <c r="G5" s="27">
        <f>MATCH(INDEX(ввод_периоды,2,G$9),период[месяц],0)</f>
        <v>2</v>
      </c>
      <c r="H5" s="27">
        <f>MATCH(INDEX(ввод_периоды,2,H$9),период[месяц],0)</f>
        <v>3</v>
      </c>
      <c r="I5" s="27">
        <f>MATCH(INDEX(ввод_периоды,2,I$9),период[месяц],0)</f>
        <v>4</v>
      </c>
      <c r="J5" s="27">
        <f>MATCH(INDEX(ввод_периоды,2,J$9),период[месяц],0)</f>
        <v>5</v>
      </c>
      <c r="K5" s="27">
        <f>MATCH(INDEX(ввод_периоды,2,K$9),период[месяц],0)</f>
        <v>6</v>
      </c>
      <c r="L5" s="27">
        <f>MATCH(INDEX(ввод_периоды,2,L$9),период[месяц],0)</f>
        <v>7</v>
      </c>
      <c r="M5" s="27">
        <f>MATCH(INDEX(ввод_периоды,2,M$9),период[месяц],0)</f>
        <v>8</v>
      </c>
      <c r="N5" s="27">
        <f>MATCH(INDEX(ввод_периоды,2,N$9),период[месяц],0)</f>
        <v>9</v>
      </c>
      <c r="O5" s="27">
        <f>MATCH(INDEX(ввод_периоды,2,O$9),период[месяц],0)</f>
        <v>10</v>
      </c>
      <c r="P5" s="27">
        <f>MATCH(INDEX(ввод_периоды,2,P$9),период[месяц],0)</f>
        <v>11</v>
      </c>
      <c r="Q5" s="27">
        <f>MATCH(INDEX(ввод_периоды,2,Q$9),период[месяц],0)</f>
        <v>12</v>
      </c>
      <c r="R5" s="46">
        <f>MATCH(INDEX(ввод_периоды,2,R$9),период[месяц],0)</f>
        <v>1</v>
      </c>
    </row>
    <row r="6" spans="2:18">
      <c r="B6" s="37"/>
      <c r="C6" s="38"/>
      <c r="D6" s="38"/>
      <c r="E6" s="39" t="s">
        <v>31</v>
      </c>
      <c r="F6" s="27" t="str">
        <f>F$5&amp;CHAR(13)&amp;"'"&amp;RIGHT(F$4,2)</f>
        <v>1_x000D_'13</v>
      </c>
      <c r="G6" s="27" t="str">
        <f t="shared" ref="G6:R6" si="1">G$5&amp;CHAR(13)&amp;"'"&amp;RIGHT(G$4,2)</f>
        <v>2_x000D_'13</v>
      </c>
      <c r="H6" s="27" t="str">
        <f t="shared" si="1"/>
        <v>3_x000D_'13</v>
      </c>
      <c r="I6" s="27" t="str">
        <f t="shared" si="1"/>
        <v>4_x000D_'13</v>
      </c>
      <c r="J6" s="27" t="str">
        <f t="shared" si="1"/>
        <v>5_x000D_'13</v>
      </c>
      <c r="K6" s="27" t="str">
        <f t="shared" si="1"/>
        <v>6_x000D_'13</v>
      </c>
      <c r="L6" s="27" t="str">
        <f t="shared" si="1"/>
        <v>7_x000D_'13</v>
      </c>
      <c r="M6" s="27" t="str">
        <f t="shared" si="1"/>
        <v>8_x000D_'13</v>
      </c>
      <c r="N6" s="27" t="str">
        <f t="shared" si="1"/>
        <v>9_x000D_'13</v>
      </c>
      <c r="O6" s="27" t="str">
        <f t="shared" si="1"/>
        <v>10_x000D_'13</v>
      </c>
      <c r="P6" s="27" t="str">
        <f t="shared" si="1"/>
        <v>11_x000D_'13</v>
      </c>
      <c r="Q6" s="27" t="str">
        <f t="shared" si="1"/>
        <v>12_x000D_'13</v>
      </c>
      <c r="R6" s="46" t="str">
        <f t="shared" si="1"/>
        <v>1_x000D_'14</v>
      </c>
    </row>
    <row r="7" spans="2:18">
      <c r="B7" s="37"/>
      <c r="C7" s="38"/>
      <c r="D7" s="38"/>
      <c r="E7" s="39" t="s">
        <v>36</v>
      </c>
      <c r="F7" s="27" t="str">
        <f>F6</f>
        <v>1_x000D_'13</v>
      </c>
      <c r="G7" s="27">
        <f>G5</f>
        <v>2</v>
      </c>
      <c r="H7" s="27">
        <f t="shared" ref="H7:Q7" si="2">H5</f>
        <v>3</v>
      </c>
      <c r="I7" s="27">
        <f t="shared" si="2"/>
        <v>4</v>
      </c>
      <c r="J7" s="27">
        <f t="shared" si="2"/>
        <v>5</v>
      </c>
      <c r="K7" s="27">
        <f t="shared" si="2"/>
        <v>6</v>
      </c>
      <c r="L7" s="27">
        <f t="shared" si="2"/>
        <v>7</v>
      </c>
      <c r="M7" s="27">
        <f t="shared" si="2"/>
        <v>8</v>
      </c>
      <c r="N7" s="27">
        <f t="shared" si="2"/>
        <v>9</v>
      </c>
      <c r="O7" s="27">
        <f t="shared" si="2"/>
        <v>10</v>
      </c>
      <c r="P7" s="27">
        <f t="shared" si="2"/>
        <v>11</v>
      </c>
      <c r="Q7" s="27">
        <f t="shared" si="2"/>
        <v>12</v>
      </c>
      <c r="R7" s="46" t="str">
        <f>R6</f>
        <v>1_x000D_'14</v>
      </c>
    </row>
    <row r="8" spans="2:18" s="43" customFormat="1">
      <c r="B8" s="55"/>
      <c r="C8" s="56"/>
      <c r="D8" s="56"/>
      <c r="E8" s="57"/>
      <c r="F8" s="58">
        <v>12</v>
      </c>
      <c r="G8" s="58">
        <v>11</v>
      </c>
      <c r="H8" s="58">
        <v>10</v>
      </c>
      <c r="I8" s="58">
        <v>9</v>
      </c>
      <c r="J8" s="58">
        <v>8</v>
      </c>
      <c r="K8" s="58">
        <v>7</v>
      </c>
      <c r="L8" s="58">
        <v>6</v>
      </c>
      <c r="M8" s="58">
        <v>5</v>
      </c>
      <c r="N8" s="58">
        <v>4</v>
      </c>
      <c r="O8" s="58">
        <v>3</v>
      </c>
      <c r="P8" s="58">
        <v>2</v>
      </c>
      <c r="Q8" s="58">
        <v>1</v>
      </c>
      <c r="R8" s="59">
        <v>0</v>
      </c>
    </row>
    <row r="9" spans="2:18">
      <c r="B9" s="40"/>
      <c r="C9" s="32"/>
      <c r="D9" s="32"/>
      <c r="E9" s="41">
        <v>13</v>
      </c>
      <c r="F9" s="53">
        <f t="shared" ref="F9:R9" si="3">тек_период-F8</f>
        <v>1</v>
      </c>
      <c r="G9" s="53">
        <f t="shared" si="3"/>
        <v>2</v>
      </c>
      <c r="H9" s="53">
        <f t="shared" si="3"/>
        <v>3</v>
      </c>
      <c r="I9" s="53">
        <f t="shared" si="3"/>
        <v>4</v>
      </c>
      <c r="J9" s="53">
        <f t="shared" si="3"/>
        <v>5</v>
      </c>
      <c r="K9" s="53">
        <f t="shared" si="3"/>
        <v>6</v>
      </c>
      <c r="L9" s="53">
        <f t="shared" si="3"/>
        <v>7</v>
      </c>
      <c r="M9" s="53">
        <f t="shared" si="3"/>
        <v>8</v>
      </c>
      <c r="N9" s="53">
        <f t="shared" si="3"/>
        <v>9</v>
      </c>
      <c r="O9" s="53">
        <f t="shared" si="3"/>
        <v>10</v>
      </c>
      <c r="P9" s="53">
        <f t="shared" si="3"/>
        <v>11</v>
      </c>
      <c r="Q9" s="53">
        <f t="shared" si="3"/>
        <v>12</v>
      </c>
      <c r="R9" s="54">
        <f t="shared" si="3"/>
        <v>13</v>
      </c>
    </row>
    <row r="11" spans="2:18">
      <c r="B11" s="25" t="s">
        <v>30</v>
      </c>
    </row>
    <row r="12" spans="2:18">
      <c r="B12" s="35"/>
      <c r="C12" s="28"/>
      <c r="D12" s="28"/>
      <c r="E12" s="3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2:18">
      <c r="B13" s="37"/>
      <c r="C13" s="38" t="b">
        <v>1</v>
      </c>
      <c r="D13" s="38"/>
      <c r="E13" s="39" t="s">
        <v>8</v>
      </c>
      <c r="F13" s="30">
        <f>0*(зебра)</f>
        <v>0</v>
      </c>
      <c r="G13" s="30">
        <f>1*(зебра)</f>
        <v>1</v>
      </c>
      <c r="H13" s="30">
        <f>0*(зебра)</f>
        <v>0</v>
      </c>
      <c r="I13" s="30">
        <f>1*(зебра)</f>
        <v>1</v>
      </c>
      <c r="J13" s="30">
        <f>0*(зебра)</f>
        <v>0</v>
      </c>
      <c r="K13" s="30">
        <f>1*(зебра)</f>
        <v>1</v>
      </c>
      <c r="L13" s="30">
        <f>0*(зебра)</f>
        <v>0</v>
      </c>
      <c r="M13" s="30">
        <f>1*(зебра)</f>
        <v>1</v>
      </c>
      <c r="N13" s="30">
        <f>0*(зебра)</f>
        <v>0</v>
      </c>
      <c r="O13" s="30">
        <f>1*(зебра)</f>
        <v>1</v>
      </c>
      <c r="P13" s="30">
        <f>0*(зебра)</f>
        <v>0</v>
      </c>
      <c r="Q13" s="30">
        <f>1*(зебра)</f>
        <v>1</v>
      </c>
      <c r="R13" s="31">
        <f>0*(зебра)</f>
        <v>0</v>
      </c>
    </row>
    <row r="14" spans="2:18">
      <c r="B14" s="37"/>
      <c r="C14" s="38" t="b">
        <v>1</v>
      </c>
      <c r="D14" s="38"/>
      <c r="E14" s="78" t="s">
        <v>32</v>
      </c>
      <c r="F14" s="44">
        <f t="shared" ref="F14:R17" si="4">IF($C14,1,NA())</f>
        <v>1</v>
      </c>
      <c r="G14" s="30">
        <f t="shared" si="4"/>
        <v>1</v>
      </c>
      <c r="H14" s="30">
        <f t="shared" si="4"/>
        <v>1</v>
      </c>
      <c r="I14" s="30">
        <f t="shared" si="4"/>
        <v>1</v>
      </c>
      <c r="J14" s="30">
        <f t="shared" si="4"/>
        <v>1</v>
      </c>
      <c r="K14" s="30">
        <f t="shared" si="4"/>
        <v>1</v>
      </c>
      <c r="L14" s="30">
        <f t="shared" si="4"/>
        <v>1</v>
      </c>
      <c r="M14" s="30">
        <f t="shared" si="4"/>
        <v>1</v>
      </c>
      <c r="N14" s="30">
        <f t="shared" si="4"/>
        <v>1</v>
      </c>
      <c r="O14" s="30">
        <f t="shared" si="4"/>
        <v>1</v>
      </c>
      <c r="P14" s="30">
        <f t="shared" si="4"/>
        <v>1</v>
      </c>
      <c r="Q14" s="30">
        <f t="shared" si="4"/>
        <v>1</v>
      </c>
      <c r="R14" s="31">
        <f t="shared" si="4"/>
        <v>1</v>
      </c>
    </row>
    <row r="15" spans="2:18">
      <c r="B15" s="37"/>
      <c r="C15" s="38" t="b">
        <v>1</v>
      </c>
      <c r="D15" s="38"/>
      <c r="E15" s="78" t="s">
        <v>33</v>
      </c>
      <c r="F15" s="44">
        <f t="shared" si="4"/>
        <v>1</v>
      </c>
      <c r="G15" s="30">
        <f t="shared" si="4"/>
        <v>1</v>
      </c>
      <c r="H15" s="30">
        <f t="shared" si="4"/>
        <v>1</v>
      </c>
      <c r="I15" s="30">
        <f t="shared" si="4"/>
        <v>1</v>
      </c>
      <c r="J15" s="30">
        <f t="shared" si="4"/>
        <v>1</v>
      </c>
      <c r="K15" s="30">
        <f t="shared" si="4"/>
        <v>1</v>
      </c>
      <c r="L15" s="30">
        <f t="shared" si="4"/>
        <v>1</v>
      </c>
      <c r="M15" s="30">
        <f t="shared" si="4"/>
        <v>1</v>
      </c>
      <c r="N15" s="30">
        <f t="shared" si="4"/>
        <v>1</v>
      </c>
      <c r="O15" s="30">
        <f t="shared" si="4"/>
        <v>1</v>
      </c>
      <c r="P15" s="30">
        <f t="shared" si="4"/>
        <v>1</v>
      </c>
      <c r="Q15" s="30">
        <f t="shared" si="4"/>
        <v>1</v>
      </c>
      <c r="R15" s="31">
        <f t="shared" si="4"/>
        <v>1</v>
      </c>
    </row>
    <row r="16" spans="2:18">
      <c r="B16" s="37"/>
      <c r="C16" s="38" t="b">
        <v>1</v>
      </c>
      <c r="D16" s="38"/>
      <c r="E16" s="78" t="s">
        <v>52</v>
      </c>
      <c r="F16" s="44">
        <f t="shared" si="4"/>
        <v>1</v>
      </c>
      <c r="G16" s="30">
        <f t="shared" si="4"/>
        <v>1</v>
      </c>
      <c r="H16" s="30">
        <f t="shared" si="4"/>
        <v>1</v>
      </c>
      <c r="I16" s="30">
        <f t="shared" si="4"/>
        <v>1</v>
      </c>
      <c r="J16" s="30">
        <f t="shared" si="4"/>
        <v>1</v>
      </c>
      <c r="K16" s="30">
        <f t="shared" si="4"/>
        <v>1</v>
      </c>
      <c r="L16" s="30">
        <f t="shared" si="4"/>
        <v>1</v>
      </c>
      <c r="M16" s="30">
        <f t="shared" si="4"/>
        <v>1</v>
      </c>
      <c r="N16" s="30">
        <f t="shared" si="4"/>
        <v>1</v>
      </c>
      <c r="O16" s="30">
        <f t="shared" si="4"/>
        <v>1</v>
      </c>
      <c r="P16" s="30">
        <f t="shared" si="4"/>
        <v>1</v>
      </c>
      <c r="Q16" s="30">
        <f t="shared" si="4"/>
        <v>1</v>
      </c>
      <c r="R16" s="31">
        <f t="shared" si="4"/>
        <v>1</v>
      </c>
    </row>
    <row r="17" spans="2:18">
      <c r="B17" s="65"/>
      <c r="C17" s="66" t="b">
        <v>1</v>
      </c>
      <c r="D17" s="66"/>
      <c r="E17" s="79" t="s">
        <v>51</v>
      </c>
      <c r="F17" s="80">
        <f t="shared" si="4"/>
        <v>1</v>
      </c>
      <c r="G17" s="32">
        <f t="shared" si="4"/>
        <v>1</v>
      </c>
      <c r="H17" s="32">
        <f t="shared" si="4"/>
        <v>1</v>
      </c>
      <c r="I17" s="32">
        <f t="shared" si="4"/>
        <v>1</v>
      </c>
      <c r="J17" s="32">
        <f t="shared" si="4"/>
        <v>1</v>
      </c>
      <c r="K17" s="32">
        <f t="shared" si="4"/>
        <v>1</v>
      </c>
      <c r="L17" s="32">
        <f t="shared" si="4"/>
        <v>1</v>
      </c>
      <c r="M17" s="32">
        <f t="shared" si="4"/>
        <v>1</v>
      </c>
      <c r="N17" s="32">
        <f t="shared" si="4"/>
        <v>1</v>
      </c>
      <c r="O17" s="32">
        <f t="shared" si="4"/>
        <v>1</v>
      </c>
      <c r="P17" s="32">
        <f t="shared" si="4"/>
        <v>1</v>
      </c>
      <c r="Q17" s="32">
        <f t="shared" si="4"/>
        <v>1</v>
      </c>
      <c r="R17" s="33">
        <f t="shared" si="4"/>
        <v>1</v>
      </c>
    </row>
    <row r="18" spans="2:18">
      <c r="F18" s="77"/>
    </row>
    <row r="19" spans="2:18">
      <c r="F19" s="77"/>
      <c r="N19" s="25" t="s">
        <v>42</v>
      </c>
      <c r="O19" s="25" t="s">
        <v>43</v>
      </c>
      <c r="P19" s="25" t="s">
        <v>38</v>
      </c>
    </row>
    <row r="20" spans="2:18">
      <c r="B20" s="35"/>
      <c r="C20" s="28"/>
      <c r="D20" s="28"/>
      <c r="E20" s="36"/>
      <c r="F20" s="28"/>
      <c r="G20" s="28"/>
      <c r="H20" s="28"/>
      <c r="I20" s="28"/>
      <c r="J20" s="28"/>
      <c r="K20" s="28"/>
      <c r="L20" s="28"/>
      <c r="M20" s="36" t="s">
        <v>40</v>
      </c>
      <c r="N20" s="71" t="str">
        <f>IF(R23&gt;=R24,N$19&amp;"▲"&amp;TEXT((R23-R24)/R24,"0%")," ")</f>
        <v xml:space="preserve"> </v>
      </c>
      <c r="O20" s="71" t="str">
        <f>IF(R23&gt;=Q23,O$19&amp;"▲"&amp;TEXT((R23-Q23)/Q23,"0%")," ")</f>
        <v xml:space="preserve"> </v>
      </c>
      <c r="P20" s="71" t="str">
        <f>IF(R23&gt;=F23,P$19&amp;"▲"&amp;TEXT((R23-F23)/F23,"0%")," ")</f>
        <v>г▲6%</v>
      </c>
      <c r="Q20" s="28" t="str">
        <f>CONCATENATE(N20,REPT(CHAR(13),R20),O20,REPT(CHAR(13),R20),P20)</f>
        <v xml:space="preserve"> _x000D_ _x000D_г▲6%</v>
      </c>
      <c r="R20" s="29">
        <v>1</v>
      </c>
    </row>
    <row r="21" spans="2:18">
      <c r="B21" s="37" t="s">
        <v>35</v>
      </c>
      <c r="C21" s="52">
        <f>MATCH(контроль!$C$5,показатель,0)</f>
        <v>2</v>
      </c>
      <c r="D21" s="38"/>
      <c r="E21" s="39" t="s">
        <v>37</v>
      </c>
      <c r="F21" s="61" t="str">
        <f>INDEX(показатель,$C21)</f>
        <v>выручка</v>
      </c>
      <c r="G21" s="62" t="s">
        <v>1</v>
      </c>
      <c r="H21" s="61" t="str">
        <f>INDEX(ЕдИзм,$C21)</f>
        <v>руб.</v>
      </c>
      <c r="I21" s="62" t="s">
        <v>2</v>
      </c>
      <c r="J21" s="61">
        <f>IF(INDEX(делители,$C21)="",1,INDEX(делители,$C21))</f>
        <v>1000</v>
      </c>
      <c r="K21" s="25" t="s">
        <v>39</v>
      </c>
      <c r="L21" s="42" t="str">
        <f>CONCATENATE(H21,IF(J21=1,""," '"&amp;REPLACE(TEXT(J21,"# ##0"),1,1,"")))</f>
        <v>руб. ' 000</v>
      </c>
      <c r="M21" s="62" t="s">
        <v>41</v>
      </c>
      <c r="N21" s="38" t="str">
        <f>IF(R23&lt;R24,N$19&amp;"▼"&amp;TEXT((R23-R24)/R24,"0%;0%")," ")</f>
        <v>п▼2%</v>
      </c>
      <c r="O21" s="38" t="str">
        <f>IF(R23&lt;Q23,O$19&amp;"▼"&amp;TEXT((R23-Q23)/Q23,"0%;0%")," ")</f>
        <v>м▼9%</v>
      </c>
      <c r="P21" s="38" t="str">
        <f>IF(R23&lt;F23,P$19&amp;"▼"&amp;TEXT((R23-F23)/F23,"0%;0%")," ")</f>
        <v xml:space="preserve"> </v>
      </c>
      <c r="Q21" s="30" t="str">
        <f>CONCATENATE(N21,REPT(CHAR(13),R21),O21,REPT(CHAR(13),R21),P21)</f>
        <v xml:space="preserve">п▼2%_x000D_м▼9%_x000D_ </v>
      </c>
      <c r="R21" s="64">
        <f>R20</f>
        <v>1</v>
      </c>
    </row>
    <row r="22" spans="2:18">
      <c r="B22" s="37"/>
      <c r="C22" s="38"/>
      <c r="D22" s="38"/>
      <c r="E22" s="39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4"/>
    </row>
    <row r="23" spans="2:18">
      <c r="B23" s="37"/>
      <c r="C23" s="38"/>
      <c r="D23" s="38"/>
      <c r="E23" s="39" t="s">
        <v>3</v>
      </c>
      <c r="F23" s="63">
        <f t="shared" ref="F23:R23" si="5">(IF(INDEX(db,$C21,F$9)="",NA(),INDEX(db,$C21,F$9))/$J21)*(F$16)</f>
        <v>6494.2150000000001</v>
      </c>
      <c r="G23" s="63">
        <f t="shared" si="5"/>
        <v>6546.1459999999997</v>
      </c>
      <c r="H23" s="63">
        <f t="shared" si="5"/>
        <v>3492.9609999999998</v>
      </c>
      <c r="I23" s="63">
        <f t="shared" si="5"/>
        <v>5471.1589999999997</v>
      </c>
      <c r="J23" s="63">
        <f t="shared" si="5"/>
        <v>2958.0639999999999</v>
      </c>
      <c r="K23" s="63">
        <f t="shared" si="5"/>
        <v>8625.2219999999998</v>
      </c>
      <c r="L23" s="63">
        <f t="shared" si="5"/>
        <v>6170.0150000000003</v>
      </c>
      <c r="M23" s="63">
        <f t="shared" si="5"/>
        <v>8139.2</v>
      </c>
      <c r="N23" s="63">
        <f t="shared" si="5"/>
        <v>5208.0649999999996</v>
      </c>
      <c r="O23" s="63">
        <f t="shared" si="5"/>
        <v>7056.44439285714</v>
      </c>
      <c r="P23" s="63">
        <f t="shared" si="5"/>
        <v>7302.0200357142903</v>
      </c>
      <c r="Q23" s="63">
        <f t="shared" si="5"/>
        <v>7547.5956785714297</v>
      </c>
      <c r="R23" s="64">
        <f t="shared" si="5"/>
        <v>6873.453300000001</v>
      </c>
    </row>
    <row r="24" spans="2:18">
      <c r="B24" s="37"/>
      <c r="C24" s="38"/>
      <c r="D24" s="38"/>
      <c r="E24" s="39" t="s">
        <v>4</v>
      </c>
      <c r="F24" s="63">
        <f t="shared" ref="F24:R24" si="6">(INDEX(db,$C21+1,F$9)/$J21)*(F$17)</f>
        <v>4430.0200000000004</v>
      </c>
      <c r="G24" s="63">
        <f t="shared" si="6"/>
        <v>8809.7119999999995</v>
      </c>
      <c r="H24" s="63">
        <f t="shared" si="6"/>
        <v>2911.3240000000001</v>
      </c>
      <c r="I24" s="63">
        <f t="shared" si="6"/>
        <v>7528.4170000000004</v>
      </c>
      <c r="J24" s="63">
        <f t="shared" si="6"/>
        <v>7508.1859999999997</v>
      </c>
      <c r="K24" s="63">
        <f t="shared" si="6"/>
        <v>5318.6279999999997</v>
      </c>
      <c r="L24" s="63">
        <f t="shared" si="6"/>
        <v>5538.6809999999996</v>
      </c>
      <c r="M24" s="63">
        <f t="shared" si="6"/>
        <v>2069.6129999999998</v>
      </c>
      <c r="N24" s="63">
        <f t="shared" si="6"/>
        <v>3466.0189999999998</v>
      </c>
      <c r="O24" s="63">
        <f t="shared" si="6"/>
        <v>7505.3770000000004</v>
      </c>
      <c r="P24" s="63">
        <f t="shared" si="6"/>
        <v>3505.8330000000001</v>
      </c>
      <c r="Q24" s="63">
        <f t="shared" si="6"/>
        <v>7846.1670000000004</v>
      </c>
      <c r="R24" s="64">
        <f t="shared" si="6"/>
        <v>6983.7879999999996</v>
      </c>
    </row>
    <row r="25" spans="2:18">
      <c r="B25" s="37"/>
      <c r="C25" s="38"/>
      <c r="D25" s="38"/>
      <c r="E25" s="60" t="s">
        <v>5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2:18">
      <c r="B26" s="37"/>
      <c r="C26" s="38"/>
      <c r="D26" s="38"/>
      <c r="E26" s="39" t="s">
        <v>6</v>
      </c>
      <c r="F26" s="63" t="e">
        <f t="shared" ref="F26:R26" si="7">(IF(F23=MAX($F23:$R23),F23,NA()))*(F$14)</f>
        <v>#N/A</v>
      </c>
      <c r="G26" s="63" t="e">
        <f t="shared" si="7"/>
        <v>#N/A</v>
      </c>
      <c r="H26" s="63" t="e">
        <f t="shared" si="7"/>
        <v>#N/A</v>
      </c>
      <c r="I26" s="63" t="e">
        <f t="shared" si="7"/>
        <v>#N/A</v>
      </c>
      <c r="J26" s="63" t="e">
        <f t="shared" si="7"/>
        <v>#N/A</v>
      </c>
      <c r="K26" s="63">
        <f t="shared" si="7"/>
        <v>8625.2219999999998</v>
      </c>
      <c r="L26" s="63" t="e">
        <f t="shared" si="7"/>
        <v>#N/A</v>
      </c>
      <c r="M26" s="63" t="e">
        <f t="shared" si="7"/>
        <v>#N/A</v>
      </c>
      <c r="N26" s="63" t="e">
        <f t="shared" si="7"/>
        <v>#N/A</v>
      </c>
      <c r="O26" s="63" t="e">
        <f t="shared" si="7"/>
        <v>#N/A</v>
      </c>
      <c r="P26" s="63" t="e">
        <f t="shared" si="7"/>
        <v>#N/A</v>
      </c>
      <c r="Q26" s="63" t="e">
        <f t="shared" si="7"/>
        <v>#N/A</v>
      </c>
      <c r="R26" s="64" t="e">
        <f t="shared" si="7"/>
        <v>#N/A</v>
      </c>
    </row>
    <row r="27" spans="2:18">
      <c r="B27" s="37"/>
      <c r="C27" s="38"/>
      <c r="D27" s="38"/>
      <c r="E27" s="39" t="s">
        <v>7</v>
      </c>
      <c r="F27" s="63" t="e">
        <f t="shared" ref="F27:R27" si="8">(IF(F23=MIN($F23:$R23),F23,NA()))*(F$15)</f>
        <v>#N/A</v>
      </c>
      <c r="G27" s="63" t="e">
        <f t="shared" si="8"/>
        <v>#N/A</v>
      </c>
      <c r="H27" s="63" t="e">
        <f t="shared" si="8"/>
        <v>#N/A</v>
      </c>
      <c r="I27" s="63" t="e">
        <f t="shared" si="8"/>
        <v>#N/A</v>
      </c>
      <c r="J27" s="63">
        <f t="shared" si="8"/>
        <v>2958.0639999999999</v>
      </c>
      <c r="K27" s="63" t="e">
        <f t="shared" si="8"/>
        <v>#N/A</v>
      </c>
      <c r="L27" s="63" t="e">
        <f t="shared" si="8"/>
        <v>#N/A</v>
      </c>
      <c r="M27" s="63" t="e">
        <f t="shared" si="8"/>
        <v>#N/A</v>
      </c>
      <c r="N27" s="63" t="e">
        <f t="shared" si="8"/>
        <v>#N/A</v>
      </c>
      <c r="O27" s="63" t="e">
        <f t="shared" si="8"/>
        <v>#N/A</v>
      </c>
      <c r="P27" s="63" t="e">
        <f t="shared" si="8"/>
        <v>#N/A</v>
      </c>
      <c r="Q27" s="63" t="e">
        <f t="shared" si="8"/>
        <v>#N/A</v>
      </c>
      <c r="R27" s="64" t="e">
        <f t="shared" si="8"/>
        <v>#N/A</v>
      </c>
    </row>
    <row r="28" spans="2:18">
      <c r="B28" s="65"/>
      <c r="C28" s="66"/>
      <c r="D28" s="66"/>
      <c r="E28" s="67" t="s">
        <v>9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</row>
    <row r="30" spans="2:18">
      <c r="B30" s="35"/>
      <c r="C30" s="28"/>
      <c r="D30" s="28"/>
      <c r="E30" s="36"/>
      <c r="F30" s="28"/>
      <c r="G30" s="28"/>
      <c r="H30" s="28"/>
      <c r="I30" s="28"/>
      <c r="J30" s="28"/>
      <c r="K30" s="28"/>
      <c r="L30" s="28"/>
      <c r="M30" s="36" t="s">
        <v>40</v>
      </c>
      <c r="N30" s="71" t="str">
        <f>IF(R33&gt;=R34,N$19&amp;"▲"&amp;TEXT((R33-R34)/R34,"0%")," ")</f>
        <v xml:space="preserve"> </v>
      </c>
      <c r="O30" s="71" t="str">
        <f>IF(R33&gt;=Q33,O$19&amp;"▲"&amp;TEXT((R33-Q33)/Q33,"0%")," ")</f>
        <v xml:space="preserve"> </v>
      </c>
      <c r="P30" s="71" t="str">
        <f>IF(R33&gt;=F33,P$19&amp;"▲"&amp;TEXT((R33-F33)/F33,"0%")," ")</f>
        <v>г▲42%</v>
      </c>
      <c r="Q30" s="28" t="str">
        <f>CONCATENATE(N30,REPT(CHAR(13),R30),O30,REPT(CHAR(13),R30),P30)</f>
        <v xml:space="preserve"> _x000D_ _x000D_г▲42%</v>
      </c>
      <c r="R30" s="29">
        <v>1</v>
      </c>
    </row>
    <row r="31" spans="2:18">
      <c r="B31" s="37" t="s">
        <v>35</v>
      </c>
      <c r="C31" s="52">
        <f>MATCH(контроль!$E$5,показатель,0)</f>
        <v>5</v>
      </c>
      <c r="D31" s="38"/>
      <c r="E31" s="39" t="s">
        <v>37</v>
      </c>
      <c r="F31" s="61" t="str">
        <f>INDEX(показатель,$C31)</f>
        <v>расходы</v>
      </c>
      <c r="G31" s="62" t="s">
        <v>1</v>
      </c>
      <c r="H31" s="61" t="str">
        <f>INDEX(ЕдИзм,$C31)</f>
        <v>руб.</v>
      </c>
      <c r="I31" s="62" t="s">
        <v>2</v>
      </c>
      <c r="J31" s="61">
        <f>IF(INDEX(делители,$C31)="",1,INDEX(делители,$C31))</f>
        <v>1000</v>
      </c>
      <c r="K31" s="25" t="s">
        <v>39</v>
      </c>
      <c r="L31" s="42" t="str">
        <f>CONCATENATE(H31,IF(J31=1,""," '"&amp;REPLACE(TEXT(J31,"# ##0"),1,1,"")))</f>
        <v>руб. ' 000</v>
      </c>
      <c r="M31" s="62" t="s">
        <v>41</v>
      </c>
      <c r="N31" s="38" t="str">
        <f>IF(R33&lt;R34,N$19&amp;"▼"&amp;TEXT((R33-R34)/R34,"0%;0%")," ")</f>
        <v>п▼32%</v>
      </c>
      <c r="O31" s="38" t="str">
        <f>IF(R33&lt;Q33,O$19&amp;"▼"&amp;TEXT((R33-Q33)/Q33,"0%;0%")," ")</f>
        <v>м▼35%</v>
      </c>
      <c r="P31" s="38" t="str">
        <f>IF(R33&lt;F33,P$19&amp;"▼"&amp;TEXT((R33-F33)/F33,"0%;0%")," ")</f>
        <v xml:space="preserve"> </v>
      </c>
      <c r="Q31" s="30" t="str">
        <f>CONCATENATE(N31,REPT(CHAR(13),R31),O31,REPT(CHAR(13),R31),P31)</f>
        <v xml:space="preserve">п▼32%_x000D_м▼35%_x000D_ </v>
      </c>
      <c r="R31" s="64">
        <f>R30</f>
        <v>1</v>
      </c>
    </row>
    <row r="32" spans="2:18">
      <c r="B32" s="37"/>
      <c r="C32" s="38"/>
      <c r="D32" s="38"/>
      <c r="E32" s="39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4"/>
    </row>
    <row r="33" spans="2:18">
      <c r="B33" s="37"/>
      <c r="C33" s="38"/>
      <c r="D33" s="38"/>
      <c r="E33" s="39" t="s">
        <v>3</v>
      </c>
      <c r="F33" s="63">
        <f t="shared" ref="F33:R33" si="9">(IF(INDEX(db,$C31,F$9)="",NA(),INDEX(db,$C31,F$9))/$J31)*(F$16)</f>
        <v>1273.144</v>
      </c>
      <c r="G33" s="63">
        <f t="shared" si="9"/>
        <v>2218.02</v>
      </c>
      <c r="H33" s="63">
        <f t="shared" si="9"/>
        <v>1761.17</v>
      </c>
      <c r="I33" s="63">
        <f t="shared" si="9"/>
        <v>2995.98</v>
      </c>
      <c r="J33" s="63">
        <f t="shared" si="9"/>
        <v>3837.3330000000001</v>
      </c>
      <c r="K33" s="63">
        <f t="shared" si="9"/>
        <v>2163.8670000000002</v>
      </c>
      <c r="L33" s="63">
        <f t="shared" si="9"/>
        <v>2794.9810000000002</v>
      </c>
      <c r="M33" s="63">
        <f t="shared" si="9"/>
        <v>2479.491</v>
      </c>
      <c r="N33" s="63">
        <f t="shared" si="9"/>
        <v>1785.4359999999999</v>
      </c>
      <c r="O33" s="63">
        <f t="shared" si="9"/>
        <v>1769.462</v>
      </c>
      <c r="P33" s="63">
        <f t="shared" si="9"/>
        <v>2763.6559999999999</v>
      </c>
      <c r="Q33" s="63">
        <f t="shared" si="9"/>
        <v>2783.1660000000002</v>
      </c>
      <c r="R33" s="64">
        <f t="shared" si="9"/>
        <v>1803.3689999999999</v>
      </c>
    </row>
    <row r="34" spans="2:18">
      <c r="B34" s="37"/>
      <c r="C34" s="38"/>
      <c r="D34" s="38"/>
      <c r="E34" s="39" t="s">
        <v>4</v>
      </c>
      <c r="F34" s="63">
        <f t="shared" ref="F34:R34" si="10">(INDEX(db,$C31+1,F$9)/$J31)*(F$17)</f>
        <v>1502.4090000000001</v>
      </c>
      <c r="G34" s="63">
        <f t="shared" si="10"/>
        <v>2499.951</v>
      </c>
      <c r="H34" s="63">
        <f t="shared" si="10"/>
        <v>1339.741</v>
      </c>
      <c r="I34" s="63">
        <f t="shared" si="10"/>
        <v>1550.0940000000001</v>
      </c>
      <c r="J34" s="63">
        <f t="shared" si="10"/>
        <v>2226.2959999999998</v>
      </c>
      <c r="K34" s="63">
        <f t="shared" si="10"/>
        <v>2600.7559999999999</v>
      </c>
      <c r="L34" s="63">
        <f t="shared" si="10"/>
        <v>2924.8649999999998</v>
      </c>
      <c r="M34" s="63">
        <f t="shared" si="10"/>
        <v>1619.5239999999999</v>
      </c>
      <c r="N34" s="63">
        <f t="shared" si="10"/>
        <v>2577.4769999999999</v>
      </c>
      <c r="O34" s="63">
        <f t="shared" si="10"/>
        <v>1021.467</v>
      </c>
      <c r="P34" s="63">
        <f t="shared" si="10"/>
        <v>1027.7460000000001</v>
      </c>
      <c r="Q34" s="63">
        <f t="shared" si="10"/>
        <v>2346.5439999999999</v>
      </c>
      <c r="R34" s="64">
        <f t="shared" si="10"/>
        <v>2636.8319999999999</v>
      </c>
    </row>
    <row r="35" spans="2:18">
      <c r="B35" s="37"/>
      <c r="C35" s="38"/>
      <c r="D35" s="38"/>
      <c r="E35" s="60" t="s">
        <v>5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4"/>
    </row>
    <row r="36" spans="2:18">
      <c r="B36" s="37"/>
      <c r="C36" s="38"/>
      <c r="D36" s="38"/>
      <c r="E36" s="39" t="s">
        <v>6</v>
      </c>
      <c r="F36" s="63" t="e">
        <f t="shared" ref="F36:R36" si="11">(IF(F33=MAX($F33:$R33),F33,NA()))*(F$14)</f>
        <v>#N/A</v>
      </c>
      <c r="G36" s="63" t="e">
        <f t="shared" si="11"/>
        <v>#N/A</v>
      </c>
      <c r="H36" s="63" t="e">
        <f t="shared" si="11"/>
        <v>#N/A</v>
      </c>
      <c r="I36" s="63" t="e">
        <f t="shared" si="11"/>
        <v>#N/A</v>
      </c>
      <c r="J36" s="63">
        <f t="shared" si="11"/>
        <v>3837.3330000000001</v>
      </c>
      <c r="K36" s="63" t="e">
        <f t="shared" si="11"/>
        <v>#N/A</v>
      </c>
      <c r="L36" s="63" t="e">
        <f t="shared" si="11"/>
        <v>#N/A</v>
      </c>
      <c r="M36" s="63" t="e">
        <f t="shared" si="11"/>
        <v>#N/A</v>
      </c>
      <c r="N36" s="63" t="e">
        <f t="shared" si="11"/>
        <v>#N/A</v>
      </c>
      <c r="O36" s="63" t="e">
        <f t="shared" si="11"/>
        <v>#N/A</v>
      </c>
      <c r="P36" s="63" t="e">
        <f t="shared" si="11"/>
        <v>#N/A</v>
      </c>
      <c r="Q36" s="63" t="e">
        <f t="shared" si="11"/>
        <v>#N/A</v>
      </c>
      <c r="R36" s="64" t="e">
        <f t="shared" si="11"/>
        <v>#N/A</v>
      </c>
    </row>
    <row r="37" spans="2:18">
      <c r="B37" s="37"/>
      <c r="C37" s="38"/>
      <c r="D37" s="38"/>
      <c r="E37" s="39" t="s">
        <v>7</v>
      </c>
      <c r="F37" s="63">
        <f t="shared" ref="F37:R37" si="12">(IF(F33=MIN($F33:$R33),F33,NA()))*(F$15)</f>
        <v>1273.144</v>
      </c>
      <c r="G37" s="63" t="e">
        <f t="shared" si="12"/>
        <v>#N/A</v>
      </c>
      <c r="H37" s="63" t="e">
        <f t="shared" si="12"/>
        <v>#N/A</v>
      </c>
      <c r="I37" s="63" t="e">
        <f t="shared" si="12"/>
        <v>#N/A</v>
      </c>
      <c r="J37" s="63" t="e">
        <f t="shared" si="12"/>
        <v>#N/A</v>
      </c>
      <c r="K37" s="63" t="e">
        <f t="shared" si="12"/>
        <v>#N/A</v>
      </c>
      <c r="L37" s="63" t="e">
        <f t="shared" si="12"/>
        <v>#N/A</v>
      </c>
      <c r="M37" s="63" t="e">
        <f t="shared" si="12"/>
        <v>#N/A</v>
      </c>
      <c r="N37" s="63" t="e">
        <f t="shared" si="12"/>
        <v>#N/A</v>
      </c>
      <c r="O37" s="63" t="e">
        <f t="shared" si="12"/>
        <v>#N/A</v>
      </c>
      <c r="P37" s="63" t="e">
        <f t="shared" si="12"/>
        <v>#N/A</v>
      </c>
      <c r="Q37" s="63" t="e">
        <f t="shared" si="12"/>
        <v>#N/A</v>
      </c>
      <c r="R37" s="64" t="e">
        <f t="shared" si="12"/>
        <v>#N/A</v>
      </c>
    </row>
    <row r="38" spans="2:18">
      <c r="B38" s="65"/>
      <c r="C38" s="66"/>
      <c r="D38" s="66"/>
      <c r="E38" s="67" t="s">
        <v>9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</row>
    <row r="40" spans="2:18">
      <c r="B40" s="35"/>
      <c r="C40" s="28"/>
      <c r="D40" s="28"/>
      <c r="E40" s="36"/>
      <c r="F40" s="28"/>
      <c r="G40" s="28"/>
      <c r="H40" s="28"/>
      <c r="I40" s="28"/>
      <c r="J40" s="28"/>
      <c r="K40" s="28"/>
      <c r="L40" s="28"/>
      <c r="M40" s="36" t="s">
        <v>40</v>
      </c>
      <c r="N40" s="71" t="str">
        <f>IF(R43&gt;=R44,N$19&amp;"▲"&amp;TEXT((R43-R44)/R44,"0%")," ")</f>
        <v>п▲17%</v>
      </c>
      <c r="O40" s="71" t="str">
        <f>IF(R43&gt;=Q43,O$19&amp;"▲"&amp;TEXT((R43-Q43)/Q43,"0%")," ")</f>
        <v>м▲6%</v>
      </c>
      <c r="P40" s="71" t="str">
        <f>IF(R43&gt;=F43,P$19&amp;"▲"&amp;TEXT((R43-F43)/F43,"0%")," ")</f>
        <v xml:space="preserve"> </v>
      </c>
      <c r="Q40" s="28" t="str">
        <f>CONCATENATE(N40,REPT(CHAR(13),R40),O40,REPT(CHAR(13),R40),P40)</f>
        <v xml:space="preserve">п▲17%_x000D_м▲6%_x000D_ </v>
      </c>
      <c r="R40" s="29">
        <v>1</v>
      </c>
    </row>
    <row r="41" spans="2:18">
      <c r="B41" s="37" t="s">
        <v>35</v>
      </c>
      <c r="C41" s="52">
        <f>MATCH(контроль!G5,показатель,0)</f>
        <v>8</v>
      </c>
      <c r="D41" s="38"/>
      <c r="E41" s="39" t="s">
        <v>37</v>
      </c>
      <c r="F41" s="61" t="str">
        <f>INDEX(показатель,$C41)</f>
        <v>прибыль</v>
      </c>
      <c r="G41" s="62" t="s">
        <v>1</v>
      </c>
      <c r="H41" s="61" t="str">
        <f>INDEX(ЕдИзм,$C41)</f>
        <v>руб.</v>
      </c>
      <c r="I41" s="62" t="s">
        <v>2</v>
      </c>
      <c r="J41" s="61">
        <f>IF(INDEX(делители,$C41)="",1,INDEX(делители,$C41))</f>
        <v>1000</v>
      </c>
      <c r="K41" s="25" t="s">
        <v>39</v>
      </c>
      <c r="L41" s="42" t="str">
        <f>CONCATENATE(H41,IF(J41=1,""," '"&amp;REPLACE(TEXT(J41,"# ##0"),1,1,"")))</f>
        <v>руб. ' 000</v>
      </c>
      <c r="M41" s="62" t="s">
        <v>41</v>
      </c>
      <c r="N41" s="38" t="str">
        <f>IF(R43&lt;R44,N$19&amp;"▼"&amp;TEXT((R43-R44)/R44,"0%;0%")," ")</f>
        <v xml:space="preserve"> </v>
      </c>
      <c r="O41" s="38" t="str">
        <f>IF(R43&lt;Q43,O$19&amp;"▼"&amp;TEXT((R43-Q43)/Q43,"0%;0%")," ")</f>
        <v xml:space="preserve"> </v>
      </c>
      <c r="P41" s="38" t="str">
        <f>IF(R43&lt;F43,P$19&amp;"▼"&amp;TEXT((R43-F43)/F43,"0%;0%")," ")</f>
        <v>г▼3%</v>
      </c>
      <c r="Q41" s="30" t="str">
        <f>CONCATENATE(N41,REPT(CHAR(13),R41),O41,REPT(CHAR(13),R41),P41)</f>
        <v xml:space="preserve"> _x000D_ _x000D_г▼3%</v>
      </c>
      <c r="R41" s="64">
        <f>R40</f>
        <v>1</v>
      </c>
    </row>
    <row r="42" spans="2:18">
      <c r="B42" s="37"/>
      <c r="C42" s="38"/>
      <c r="D42" s="38"/>
      <c r="E42" s="39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4"/>
    </row>
    <row r="43" spans="2:18">
      <c r="B43" s="37"/>
      <c r="C43" s="38"/>
      <c r="D43" s="38"/>
      <c r="E43" s="39" t="s">
        <v>3</v>
      </c>
      <c r="F43" s="63">
        <f t="shared" ref="F43:R43" si="13">(IF(INDEX(db,$C41,F$9)="",NA(),INDEX(db,$C41,F$9))/$J41)*(F$16)</f>
        <v>5221.0709999999999</v>
      </c>
      <c r="G43" s="63">
        <f t="shared" si="13"/>
        <v>4328.1260000000002</v>
      </c>
      <c r="H43" s="63">
        <f t="shared" si="13"/>
        <v>1731.7909999999999</v>
      </c>
      <c r="I43" s="63">
        <f t="shared" si="13"/>
        <v>2475.1790000000001</v>
      </c>
      <c r="J43" s="63">
        <f t="shared" si="13"/>
        <v>-879.26900000000001</v>
      </c>
      <c r="K43" s="63">
        <f t="shared" si="13"/>
        <v>6461.3549999999996</v>
      </c>
      <c r="L43" s="63">
        <f t="shared" si="13"/>
        <v>3375.0340000000001</v>
      </c>
      <c r="M43" s="63">
        <f t="shared" si="13"/>
        <v>5659.7089999999998</v>
      </c>
      <c r="N43" s="63">
        <f t="shared" si="13"/>
        <v>3422.6289999999999</v>
      </c>
      <c r="O43" s="63">
        <f t="shared" si="13"/>
        <v>5286.9823928571395</v>
      </c>
      <c r="P43" s="63">
        <f t="shared" si="13"/>
        <v>4538.3640357142904</v>
      </c>
      <c r="Q43" s="63">
        <f t="shared" si="13"/>
        <v>4764.4296785714305</v>
      </c>
      <c r="R43" s="64">
        <f t="shared" si="13"/>
        <v>5070.0843000000004</v>
      </c>
    </row>
    <row r="44" spans="2:18">
      <c r="B44" s="37"/>
      <c r="C44" s="38"/>
      <c r="D44" s="38"/>
      <c r="E44" s="39" t="s">
        <v>4</v>
      </c>
      <c r="F44" s="63">
        <f t="shared" ref="F44:R44" si="14">(INDEX(db,$C41+1,F$9)/$J41)*(F$17)</f>
        <v>2927.6109999999999</v>
      </c>
      <c r="G44" s="63">
        <f t="shared" si="14"/>
        <v>6309.7610000000004</v>
      </c>
      <c r="H44" s="63">
        <f t="shared" si="14"/>
        <v>1571.5830000000001</v>
      </c>
      <c r="I44" s="63">
        <f t="shared" si="14"/>
        <v>5978.3230000000003</v>
      </c>
      <c r="J44" s="63">
        <f t="shared" si="14"/>
        <v>5281.89</v>
      </c>
      <c r="K44" s="63">
        <f t="shared" si="14"/>
        <v>2717.8719999999998</v>
      </c>
      <c r="L44" s="63">
        <f t="shared" si="14"/>
        <v>2613.8159999999998</v>
      </c>
      <c r="M44" s="63">
        <f t="shared" si="14"/>
        <v>450.089</v>
      </c>
      <c r="N44" s="63">
        <f t="shared" si="14"/>
        <v>888.54200000000003</v>
      </c>
      <c r="O44" s="63">
        <f t="shared" si="14"/>
        <v>6483.91</v>
      </c>
      <c r="P44" s="63">
        <f t="shared" si="14"/>
        <v>2478.087</v>
      </c>
      <c r="Q44" s="63">
        <f t="shared" si="14"/>
        <v>5499.6229999999996</v>
      </c>
      <c r="R44" s="64">
        <f t="shared" si="14"/>
        <v>4346.9560000000001</v>
      </c>
    </row>
    <row r="45" spans="2:18">
      <c r="B45" s="37"/>
      <c r="C45" s="38"/>
      <c r="D45" s="38"/>
      <c r="E45" s="60" t="s">
        <v>5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4"/>
    </row>
    <row r="46" spans="2:18">
      <c r="B46" s="37"/>
      <c r="C46" s="38"/>
      <c r="D46" s="38"/>
      <c r="E46" s="39" t="s">
        <v>6</v>
      </c>
      <c r="F46" s="63" t="e">
        <f t="shared" ref="F46:R46" si="15">(IF(F43=MAX($F43:$R43),F43,NA()))*(F$14)</f>
        <v>#N/A</v>
      </c>
      <c r="G46" s="63" t="e">
        <f t="shared" si="15"/>
        <v>#N/A</v>
      </c>
      <c r="H46" s="63" t="e">
        <f t="shared" si="15"/>
        <v>#N/A</v>
      </c>
      <c r="I46" s="63" t="e">
        <f t="shared" si="15"/>
        <v>#N/A</v>
      </c>
      <c r="J46" s="63" t="e">
        <f t="shared" si="15"/>
        <v>#N/A</v>
      </c>
      <c r="K46" s="63">
        <f t="shared" si="15"/>
        <v>6461.3549999999996</v>
      </c>
      <c r="L46" s="63" t="e">
        <f t="shared" si="15"/>
        <v>#N/A</v>
      </c>
      <c r="M46" s="63" t="e">
        <f t="shared" si="15"/>
        <v>#N/A</v>
      </c>
      <c r="N46" s="63" t="e">
        <f t="shared" si="15"/>
        <v>#N/A</v>
      </c>
      <c r="O46" s="63" t="e">
        <f t="shared" si="15"/>
        <v>#N/A</v>
      </c>
      <c r="P46" s="63" t="e">
        <f t="shared" si="15"/>
        <v>#N/A</v>
      </c>
      <c r="Q46" s="63" t="e">
        <f t="shared" si="15"/>
        <v>#N/A</v>
      </c>
      <c r="R46" s="64" t="e">
        <f t="shared" si="15"/>
        <v>#N/A</v>
      </c>
    </row>
    <row r="47" spans="2:18">
      <c r="B47" s="37"/>
      <c r="C47" s="38"/>
      <c r="D47" s="38"/>
      <c r="E47" s="39" t="s">
        <v>7</v>
      </c>
      <c r="F47" s="63" t="e">
        <f t="shared" ref="F47:R47" si="16">(IF(F43=MIN($F43:$R43),F43,NA()))*(F$15)</f>
        <v>#N/A</v>
      </c>
      <c r="G47" s="63" t="e">
        <f t="shared" si="16"/>
        <v>#N/A</v>
      </c>
      <c r="H47" s="63" t="e">
        <f t="shared" si="16"/>
        <v>#N/A</v>
      </c>
      <c r="I47" s="63" t="e">
        <f t="shared" si="16"/>
        <v>#N/A</v>
      </c>
      <c r="J47" s="63">
        <f t="shared" si="16"/>
        <v>-879.26900000000001</v>
      </c>
      <c r="K47" s="63" t="e">
        <f t="shared" si="16"/>
        <v>#N/A</v>
      </c>
      <c r="L47" s="63" t="e">
        <f t="shared" si="16"/>
        <v>#N/A</v>
      </c>
      <c r="M47" s="63" t="e">
        <f t="shared" si="16"/>
        <v>#N/A</v>
      </c>
      <c r="N47" s="63" t="e">
        <f t="shared" si="16"/>
        <v>#N/A</v>
      </c>
      <c r="O47" s="63" t="e">
        <f t="shared" si="16"/>
        <v>#N/A</v>
      </c>
      <c r="P47" s="63" t="e">
        <f t="shared" si="16"/>
        <v>#N/A</v>
      </c>
      <c r="Q47" s="63" t="e">
        <f t="shared" si="16"/>
        <v>#N/A</v>
      </c>
      <c r="R47" s="64" t="e">
        <f t="shared" si="16"/>
        <v>#N/A</v>
      </c>
    </row>
    <row r="48" spans="2:18">
      <c r="B48" s="65"/>
      <c r="C48" s="66"/>
      <c r="D48" s="66"/>
      <c r="E48" s="67" t="s">
        <v>9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9"/>
    </row>
    <row r="50" spans="2:18">
      <c r="B50" s="35"/>
      <c r="C50" s="28"/>
      <c r="D50" s="28"/>
      <c r="E50" s="36"/>
      <c r="F50" s="28"/>
      <c r="G50" s="28"/>
      <c r="H50" s="28"/>
      <c r="I50" s="28"/>
      <c r="J50" s="28"/>
      <c r="K50" s="28"/>
      <c r="L50" s="28"/>
      <c r="M50" s="36" t="s">
        <v>40</v>
      </c>
      <c r="N50" s="71" t="str">
        <f>IF(R53&gt;=R54,N$19&amp;"▲"&amp;TEXT((R53-R54)/R54,"0%")," ")</f>
        <v>п▲19%</v>
      </c>
      <c r="O50" s="71" t="str">
        <f>IF(R53&gt;=Q53,O$19&amp;"▲"&amp;TEXT((R53-Q53)/Q53,"0%")," ")</f>
        <v>м▲17%</v>
      </c>
      <c r="P50" s="71" t="str">
        <f>IF(R53&gt;=F53,P$19&amp;"▲"&amp;TEXT((R53-F53)/F53,"0%")," ")</f>
        <v xml:space="preserve"> </v>
      </c>
      <c r="Q50" s="28" t="str">
        <f>CONCATENATE(N50,REPT(CHAR(13),R50),O50,REPT(CHAR(13),R50),P50)</f>
        <v xml:space="preserve">п▲19%_x000D_м▲17%_x000D_ </v>
      </c>
      <c r="R50" s="29">
        <v>1</v>
      </c>
    </row>
    <row r="51" spans="2:18">
      <c r="B51" s="37" t="s">
        <v>35</v>
      </c>
      <c r="C51" s="52">
        <f>MATCH(контроль!I5,показатель,0)</f>
        <v>11</v>
      </c>
      <c r="D51" s="38"/>
      <c r="E51" s="39" t="s">
        <v>37</v>
      </c>
      <c r="F51" s="61" t="str">
        <f>INDEX(показатель,$C51)</f>
        <v>рентабельность</v>
      </c>
      <c r="G51" s="62" t="s">
        <v>1</v>
      </c>
      <c r="H51" s="61" t="str">
        <f>INDEX(ЕдИзм,$C51)</f>
        <v>%</v>
      </c>
      <c r="I51" s="62" t="s">
        <v>2</v>
      </c>
      <c r="J51" s="61">
        <f>IF(INDEX(делители,$C51)="",1,INDEX(делители,$C51))</f>
        <v>1</v>
      </c>
      <c r="K51" s="25" t="s">
        <v>39</v>
      </c>
      <c r="L51" s="42" t="str">
        <f>CONCATENATE(H51,IF(J51=1,""," '"&amp;REPLACE(TEXT(J51,"# ##0"),1,1,"")))</f>
        <v>%</v>
      </c>
      <c r="M51" s="62" t="s">
        <v>41</v>
      </c>
      <c r="N51" s="38" t="str">
        <f>IF(R53&lt;R54,N$19&amp;"▼"&amp;TEXT((R53-R54)/R54,"0%;0%")," ")</f>
        <v xml:space="preserve"> </v>
      </c>
      <c r="O51" s="38" t="str">
        <f>IF(R53&lt;Q53,O$19&amp;"▼"&amp;TEXT((R53-Q53)/Q53,"0%;0%")," ")</f>
        <v xml:space="preserve"> </v>
      </c>
      <c r="P51" s="38" t="str">
        <f>IF(R53&lt;F53,P$19&amp;"▼"&amp;TEXT((R53-F53)/F53,"0%;0%")," ")</f>
        <v>г▼8%</v>
      </c>
      <c r="Q51" s="30" t="str">
        <f>CONCATENATE(N51,REPT(CHAR(13),R51),O51,REPT(CHAR(13),R51),P51)</f>
        <v xml:space="preserve"> _x000D_ _x000D_г▼8%</v>
      </c>
      <c r="R51" s="64">
        <f>R50</f>
        <v>1</v>
      </c>
    </row>
    <row r="52" spans="2:18">
      <c r="B52" s="37"/>
      <c r="C52" s="38"/>
      <c r="D52" s="38"/>
      <c r="E52" s="39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</row>
    <row r="53" spans="2:18">
      <c r="B53" s="37"/>
      <c r="C53" s="38"/>
      <c r="D53" s="38"/>
      <c r="E53" s="39" t="s">
        <v>3</v>
      </c>
      <c r="F53" s="63">
        <f t="shared" ref="F53:R53" si="17">(IF(INDEX(db,$C51,F$9)="",NA(),INDEX(db,$C51,F$9))/$J51)*(F$16)</f>
        <v>0.80395721422835553</v>
      </c>
      <c r="G53" s="63">
        <f t="shared" si="17"/>
        <v>0.66117162678620367</v>
      </c>
      <c r="H53" s="63">
        <f t="shared" si="17"/>
        <v>0.49579454222363206</v>
      </c>
      <c r="I53" s="63">
        <f t="shared" si="17"/>
        <v>0.45240487436025895</v>
      </c>
      <c r="J53" s="63">
        <f t="shared" si="17"/>
        <v>-0.297244751972912</v>
      </c>
      <c r="K53" s="63">
        <f t="shared" si="17"/>
        <v>0.74912332691262906</v>
      </c>
      <c r="L53" s="63">
        <f t="shared" si="17"/>
        <v>0.54700580144456701</v>
      </c>
      <c r="M53" s="63">
        <f t="shared" si="17"/>
        <v>0.69536428641635539</v>
      </c>
      <c r="N53" s="63">
        <f t="shared" si="17"/>
        <v>0.6571786258428034</v>
      </c>
      <c r="O53" s="63">
        <f t="shared" si="17"/>
        <v>0.74924169999962997</v>
      </c>
      <c r="P53" s="63">
        <f t="shared" si="17"/>
        <v>0.62152171775989151</v>
      </c>
      <c r="Q53" s="63">
        <f t="shared" si="17"/>
        <v>0.63125131253363809</v>
      </c>
      <c r="R53" s="64">
        <f t="shared" si="17"/>
        <v>0.73763275586669075</v>
      </c>
    </row>
    <row r="54" spans="2:18">
      <c r="B54" s="37"/>
      <c r="C54" s="38"/>
      <c r="D54" s="38"/>
      <c r="E54" s="39" t="s">
        <v>4</v>
      </c>
      <c r="F54" s="63">
        <f t="shared" ref="F54:R54" si="18">(INDEX(db,$C51+1,F$9)/$J51)*(F$17)</f>
        <v>0.66085728732601656</v>
      </c>
      <c r="G54" s="63">
        <f t="shared" si="18"/>
        <v>0.71622784036526965</v>
      </c>
      <c r="H54" s="63">
        <f t="shared" si="18"/>
        <v>0.53981727901119902</v>
      </c>
      <c r="I54" s="63">
        <f t="shared" si="18"/>
        <v>0.79410093781999591</v>
      </c>
      <c r="J54" s="63">
        <f t="shared" si="18"/>
        <v>0.70348417047739631</v>
      </c>
      <c r="K54" s="63">
        <f t="shared" si="18"/>
        <v>0.51100998227362393</v>
      </c>
      <c r="L54" s="63">
        <f t="shared" si="18"/>
        <v>0.47192030015810621</v>
      </c>
      <c r="M54" s="63">
        <f t="shared" si="18"/>
        <v>0.21747495787859855</v>
      </c>
      <c r="N54" s="63">
        <f t="shared" si="18"/>
        <v>0.25635808690027378</v>
      </c>
      <c r="O54" s="63">
        <f t="shared" si="18"/>
        <v>0.86390197321200524</v>
      </c>
      <c r="P54" s="63">
        <f t="shared" si="18"/>
        <v>0.70684684638429729</v>
      </c>
      <c r="Q54" s="63">
        <f t="shared" si="18"/>
        <v>0.70093116804676725</v>
      </c>
      <c r="R54" s="64">
        <f t="shared" si="18"/>
        <v>0.62243527438118107</v>
      </c>
    </row>
    <row r="55" spans="2:18">
      <c r="B55" s="37"/>
      <c r="C55" s="38"/>
      <c r="D55" s="38"/>
      <c r="E55" s="60" t="s">
        <v>5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4"/>
    </row>
    <row r="56" spans="2:18">
      <c r="B56" s="37"/>
      <c r="C56" s="38"/>
      <c r="D56" s="38"/>
      <c r="E56" s="39" t="s">
        <v>6</v>
      </c>
      <c r="F56" s="63">
        <f t="shared" ref="F56:R56" si="19">(IF(F53=MAX($F53:$R53),F53,NA()))*(F$14)</f>
        <v>0.80395721422835553</v>
      </c>
      <c r="G56" s="63" t="e">
        <f t="shared" si="19"/>
        <v>#N/A</v>
      </c>
      <c r="H56" s="63" t="e">
        <f t="shared" si="19"/>
        <v>#N/A</v>
      </c>
      <c r="I56" s="63" t="e">
        <f t="shared" si="19"/>
        <v>#N/A</v>
      </c>
      <c r="J56" s="63" t="e">
        <f t="shared" si="19"/>
        <v>#N/A</v>
      </c>
      <c r="K56" s="63" t="e">
        <f t="shared" si="19"/>
        <v>#N/A</v>
      </c>
      <c r="L56" s="63" t="e">
        <f t="shared" si="19"/>
        <v>#N/A</v>
      </c>
      <c r="M56" s="63" t="e">
        <f t="shared" si="19"/>
        <v>#N/A</v>
      </c>
      <c r="N56" s="63" t="e">
        <f t="shared" si="19"/>
        <v>#N/A</v>
      </c>
      <c r="O56" s="63" t="e">
        <f t="shared" si="19"/>
        <v>#N/A</v>
      </c>
      <c r="P56" s="63" t="e">
        <f t="shared" si="19"/>
        <v>#N/A</v>
      </c>
      <c r="Q56" s="63" t="e">
        <f t="shared" si="19"/>
        <v>#N/A</v>
      </c>
      <c r="R56" s="64" t="e">
        <f t="shared" si="19"/>
        <v>#N/A</v>
      </c>
    </row>
    <row r="57" spans="2:18">
      <c r="B57" s="37"/>
      <c r="C57" s="38"/>
      <c r="D57" s="38"/>
      <c r="E57" s="39" t="s">
        <v>7</v>
      </c>
      <c r="F57" s="63" t="e">
        <f t="shared" ref="F57:R57" si="20">(IF(F53=MIN($F53:$R53),F53,NA()))*(F$15)</f>
        <v>#N/A</v>
      </c>
      <c r="G57" s="63" t="e">
        <f t="shared" si="20"/>
        <v>#N/A</v>
      </c>
      <c r="H57" s="63" t="e">
        <f t="shared" si="20"/>
        <v>#N/A</v>
      </c>
      <c r="I57" s="63" t="e">
        <f t="shared" si="20"/>
        <v>#N/A</v>
      </c>
      <c r="J57" s="63">
        <f t="shared" si="20"/>
        <v>-0.297244751972912</v>
      </c>
      <c r="K57" s="63" t="e">
        <f t="shared" si="20"/>
        <v>#N/A</v>
      </c>
      <c r="L57" s="63" t="e">
        <f t="shared" si="20"/>
        <v>#N/A</v>
      </c>
      <c r="M57" s="63" t="e">
        <f t="shared" si="20"/>
        <v>#N/A</v>
      </c>
      <c r="N57" s="63" t="e">
        <f t="shared" si="20"/>
        <v>#N/A</v>
      </c>
      <c r="O57" s="63" t="e">
        <f t="shared" si="20"/>
        <v>#N/A</v>
      </c>
      <c r="P57" s="63" t="e">
        <f t="shared" si="20"/>
        <v>#N/A</v>
      </c>
      <c r="Q57" s="63" t="e">
        <f t="shared" si="20"/>
        <v>#N/A</v>
      </c>
      <c r="R57" s="64" t="e">
        <f t="shared" si="20"/>
        <v>#N/A</v>
      </c>
    </row>
    <row r="58" spans="2:18">
      <c r="B58" s="65"/>
      <c r="C58" s="66"/>
      <c r="D58" s="66"/>
      <c r="E58" s="67" t="s">
        <v>9</v>
      </c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9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zoomScaleNormal="100" workbookViewId="0">
      <selection activeCell="J8" sqref="J8"/>
    </sheetView>
  </sheetViews>
  <sheetFormatPr defaultColWidth="0" defaultRowHeight="15" customHeight="1" zeroHeight="1"/>
  <cols>
    <col min="1" max="1" width="2.85546875" style="94" customWidth="1"/>
    <col min="2" max="6" width="9.140625" style="94" customWidth="1"/>
    <col min="7" max="8" width="9.140625" style="93" customWidth="1"/>
    <col min="9" max="9" width="13.7109375" style="93" customWidth="1"/>
    <col min="10" max="10" width="25.5703125" style="93" customWidth="1"/>
    <col min="11" max="11" width="26.5703125" style="93" customWidth="1"/>
    <col min="12" max="12" width="9.140625" style="93" hidden="1" customWidth="1"/>
    <col min="13" max="16" width="9.140625" style="94" hidden="1" customWidth="1"/>
    <col min="17" max="16384" width="9.140625" style="94" hidden="1"/>
  </cols>
  <sheetData>
    <row r="1" spans="1:16" s="89" customFormat="1" ht="6.7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s="89" customFormat="1">
      <c r="A2" s="88"/>
      <c r="B2" s="88"/>
      <c r="C2" s="88"/>
      <c r="D2" s="88"/>
      <c r="E2" s="88"/>
      <c r="F2" s="88"/>
      <c r="G2" s="88"/>
      <c r="H2" s="88"/>
      <c r="I2" s="88"/>
      <c r="J2" s="88" t="s">
        <v>53</v>
      </c>
      <c r="K2" s="88"/>
      <c r="L2" s="88"/>
      <c r="M2" s="88"/>
      <c r="N2" s="88"/>
      <c r="O2" s="88"/>
      <c r="P2" s="88"/>
    </row>
    <row r="3" spans="1:16" s="89" customFormat="1">
      <c r="A3" s="88"/>
      <c r="B3" s="88"/>
      <c r="C3" s="88"/>
      <c r="D3" s="88"/>
      <c r="E3" s="88"/>
      <c r="F3" s="88"/>
      <c r="G3" s="88"/>
      <c r="H3" s="88"/>
      <c r="I3" s="88"/>
      <c r="J3" s="88" t="s">
        <v>54</v>
      </c>
      <c r="K3" s="88"/>
      <c r="L3" s="88"/>
      <c r="M3" s="88"/>
      <c r="N3" s="88"/>
      <c r="O3" s="88"/>
      <c r="P3" s="88"/>
    </row>
    <row r="4" spans="1:16" s="89" customFormat="1">
      <c r="A4" s="88"/>
      <c r="B4" s="88"/>
      <c r="C4" s="88"/>
      <c r="D4" s="88"/>
      <c r="E4" s="88"/>
      <c r="F4" s="88"/>
      <c r="G4" s="88"/>
      <c r="H4" s="88"/>
      <c r="I4" s="88"/>
      <c r="J4" s="88" t="s">
        <v>55</v>
      </c>
      <c r="K4" s="88"/>
      <c r="L4" s="88"/>
      <c r="M4" s="88"/>
      <c r="N4" s="88"/>
      <c r="O4" s="88"/>
      <c r="P4" s="88"/>
    </row>
    <row r="5" spans="1:16" s="89" customForma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s="89" customFormat="1">
      <c r="A6" s="88"/>
      <c r="B6" s="88"/>
      <c r="C6" s="88"/>
      <c r="D6" s="88"/>
      <c r="E6" s="88"/>
      <c r="F6" s="88"/>
      <c r="G6" s="88"/>
      <c r="H6" s="88"/>
      <c r="I6" s="88"/>
      <c r="J6" s="88" t="s">
        <v>56</v>
      </c>
      <c r="K6" s="88"/>
      <c r="L6" s="88"/>
      <c r="M6" s="88"/>
      <c r="N6" s="88"/>
      <c r="O6" s="88"/>
      <c r="P6" s="88"/>
    </row>
    <row r="7" spans="1:16" s="89" customFormat="1">
      <c r="A7" s="88"/>
      <c r="B7" s="88"/>
      <c r="C7" s="88"/>
      <c r="D7" s="88"/>
      <c r="E7" s="88"/>
      <c r="F7" s="88"/>
      <c r="G7" s="88"/>
      <c r="H7" s="88"/>
      <c r="I7" s="88"/>
      <c r="J7" s="88" t="s">
        <v>57</v>
      </c>
      <c r="K7" s="88"/>
      <c r="L7" s="88"/>
      <c r="M7" s="88"/>
      <c r="N7" s="88"/>
      <c r="O7" s="88"/>
      <c r="P7" s="88"/>
    </row>
    <row r="8" spans="1:16" s="89" customFormat="1">
      <c r="A8" s="88"/>
      <c r="B8" s="88"/>
      <c r="C8" s="88"/>
      <c r="D8" s="88"/>
      <c r="E8" s="88"/>
      <c r="F8" s="88"/>
      <c r="G8" s="88"/>
      <c r="H8" s="88"/>
      <c r="I8" s="88"/>
      <c r="J8" s="88" t="s">
        <v>58</v>
      </c>
      <c r="K8" s="88"/>
      <c r="L8" s="88"/>
      <c r="M8" s="88"/>
      <c r="N8" s="88"/>
      <c r="O8" s="88"/>
      <c r="P8" s="88"/>
    </row>
    <row r="9" spans="1:16" s="89" customFormat="1">
      <c r="A9" s="88"/>
      <c r="B9" s="88"/>
      <c r="C9" s="88"/>
      <c r="D9" s="88"/>
      <c r="E9" s="88"/>
      <c r="F9" s="88"/>
      <c r="G9" s="88"/>
      <c r="H9" s="88"/>
      <c r="I9" s="88"/>
      <c r="J9" s="88" t="s">
        <v>59</v>
      </c>
      <c r="K9" s="88"/>
      <c r="L9" s="88"/>
      <c r="M9" s="88"/>
      <c r="N9" s="88"/>
      <c r="O9" s="88"/>
      <c r="P9" s="88"/>
    </row>
    <row r="10" spans="1:16" s="89" customFormat="1">
      <c r="A10" s="88"/>
      <c r="B10" s="88"/>
      <c r="C10" s="88"/>
      <c r="D10" s="88"/>
      <c r="E10" s="88"/>
      <c r="F10" s="88"/>
      <c r="G10" s="88"/>
      <c r="H10" s="88"/>
      <c r="I10" s="88"/>
      <c r="J10" s="88" t="s">
        <v>60</v>
      </c>
      <c r="K10" s="88"/>
      <c r="L10" s="88"/>
      <c r="M10" s="88"/>
      <c r="N10" s="88"/>
      <c r="O10" s="88"/>
      <c r="P10" s="88"/>
    </row>
    <row r="11" spans="1:16" s="89" customForma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s="89" customFormat="1">
      <c r="A12" s="88"/>
      <c r="B12" s="88"/>
      <c r="C12" s="88"/>
      <c r="D12" s="88"/>
      <c r="E12" s="88"/>
      <c r="F12" s="88"/>
      <c r="G12" s="88"/>
      <c r="H12" s="88"/>
      <c r="I12" s="88"/>
      <c r="J12" s="88" t="s">
        <v>61</v>
      </c>
      <c r="K12" s="88"/>
      <c r="L12" s="88"/>
      <c r="M12" s="88"/>
      <c r="N12" s="88"/>
      <c r="O12" s="88"/>
      <c r="P12" s="88"/>
    </row>
    <row r="13" spans="1:16" s="89" customFormat="1">
      <c r="A13" s="88"/>
      <c r="B13" s="88"/>
      <c r="C13" s="88"/>
      <c r="D13" s="88"/>
      <c r="E13" s="88"/>
      <c r="F13" s="88"/>
      <c r="G13" s="88"/>
      <c r="H13" s="88"/>
      <c r="I13" s="88"/>
      <c r="J13" s="88" t="s">
        <v>62</v>
      </c>
      <c r="K13" s="88"/>
      <c r="L13" s="88"/>
      <c r="M13" s="88"/>
      <c r="N13" s="88"/>
      <c r="O13" s="88"/>
      <c r="P13" s="88"/>
    </row>
    <row r="14" spans="1:16" s="89" customForma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6" s="89" customFormat="1">
      <c r="A15" s="88"/>
      <c r="B15" s="88"/>
      <c r="C15" s="88"/>
      <c r="D15" s="88"/>
      <c r="E15" s="88"/>
      <c r="F15" s="88"/>
      <c r="G15" s="88"/>
      <c r="H15" s="88"/>
      <c r="I15" s="88"/>
      <c r="J15" s="88" t="s">
        <v>63</v>
      </c>
      <c r="K15" s="88"/>
      <c r="L15" s="88"/>
      <c r="M15" s="88"/>
      <c r="N15" s="88"/>
      <c r="O15" s="88"/>
      <c r="P15" s="88"/>
    </row>
    <row r="16" spans="1:16" s="89" customFormat="1">
      <c r="A16" s="88"/>
      <c r="B16" s="88"/>
      <c r="C16" s="88"/>
      <c r="D16" s="88"/>
      <c r="E16" s="88"/>
      <c r="F16" s="88"/>
      <c r="G16" s="88"/>
      <c r="H16" s="88"/>
      <c r="I16" s="88"/>
      <c r="J16" s="90" t="s">
        <v>65</v>
      </c>
      <c r="K16" s="91" t="s">
        <v>66</v>
      </c>
      <c r="L16" s="88"/>
      <c r="M16" s="88"/>
      <c r="N16" s="88"/>
      <c r="O16" s="88"/>
      <c r="P16" s="88"/>
    </row>
    <row r="17" spans="1:16" s="89" customFormat="1">
      <c r="A17" s="88"/>
      <c r="B17" s="88"/>
      <c r="C17" s="88"/>
      <c r="D17" s="88"/>
      <c r="E17" s="88"/>
      <c r="F17" s="88"/>
      <c r="G17" s="88"/>
      <c r="H17" s="88"/>
      <c r="I17" s="88"/>
      <c r="J17" s="92" t="s">
        <v>64</v>
      </c>
      <c r="K17" s="91" t="s">
        <v>67</v>
      </c>
      <c r="L17" s="88"/>
      <c r="M17" s="88"/>
      <c r="N17" s="88"/>
      <c r="O17" s="88"/>
      <c r="P17" s="88"/>
    </row>
    <row r="18" spans="1:16" s="89" customForma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spans="1:16" s="89" customFormat="1">
      <c r="A19" s="93"/>
      <c r="B19" s="93"/>
      <c r="C19" s="93"/>
      <c r="D19" s="93"/>
      <c r="E19" s="93"/>
      <c r="F19" s="93"/>
      <c r="G19" s="93"/>
      <c r="H19" s="93"/>
      <c r="I19" s="93"/>
      <c r="J19" s="88"/>
      <c r="K19" s="88"/>
      <c r="L19" s="88"/>
      <c r="M19" s="88"/>
      <c r="N19" s="88"/>
      <c r="O19" s="88"/>
      <c r="P19" s="88"/>
    </row>
    <row r="20" spans="1:16" s="89" customFormat="1">
      <c r="A20" s="93"/>
      <c r="B20" s="93"/>
      <c r="C20" s="93"/>
      <c r="D20" s="93"/>
      <c r="E20" s="93"/>
      <c r="F20" s="93"/>
      <c r="G20" s="93"/>
      <c r="H20" s="93"/>
      <c r="I20" s="93"/>
      <c r="J20" s="88"/>
      <c r="K20" s="88"/>
      <c r="L20" s="88"/>
      <c r="M20" s="88"/>
      <c r="N20" s="88"/>
      <c r="O20" s="88"/>
      <c r="P20" s="88"/>
    </row>
    <row r="21" spans="1:16" s="89" customFormat="1">
      <c r="A21" s="93"/>
      <c r="B21" s="93"/>
      <c r="C21" s="93"/>
      <c r="D21" s="93"/>
      <c r="E21" s="93"/>
      <c r="F21" s="93"/>
      <c r="G21" s="93"/>
      <c r="H21" s="93"/>
      <c r="I21" s="93"/>
      <c r="J21" s="88"/>
      <c r="K21" s="88"/>
      <c r="L21" s="88"/>
      <c r="M21" s="88"/>
      <c r="N21" s="88"/>
      <c r="O21" s="88"/>
      <c r="P21" s="88"/>
    </row>
  </sheetData>
  <sheetProtection algorithmName="SHA-512" hashValue="GlYL2IJpiuKeN3WFblgICsgoMEFe8md6EcpT98XXtxKzlF/Ytl526LT/pqQPbxK3LPk9X9WGW42Dz9wE/pxavw==" saltValue="j9FhHMjI5X5Eae+NhHkjng==" spinCount="100000" sheet="1" selectLockedCells="1" selectUnlockedCells="1"/>
  <hyperlinks>
    <hyperlink ref="J17" r:id="rId1" tooltip="Задайте вопрос по обучению или проекту"/>
    <hyperlink ref="K17" r:id="rId2"/>
    <hyperlink ref="K16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отчет</vt:lpstr>
      <vt:lpstr>списки</vt:lpstr>
      <vt:lpstr>ввод</vt:lpstr>
      <vt:lpstr>контроль</vt:lpstr>
      <vt:lpstr>вычисления</vt:lpstr>
      <vt:lpstr>Об авторе</vt:lpstr>
      <vt:lpstr>db</vt:lpstr>
      <vt:lpstr>Max</vt:lpstr>
      <vt:lpstr>Min</vt:lpstr>
      <vt:lpstr>ввод_периоды</vt:lpstr>
      <vt:lpstr>делители</vt:lpstr>
      <vt:lpstr>ЕдИзм</vt:lpstr>
      <vt:lpstr>зебра</vt:lpstr>
      <vt:lpstr>план</vt:lpstr>
      <vt:lpstr>ПланФакт</vt:lpstr>
      <vt:lpstr>показатель</vt:lpstr>
      <vt:lpstr>тек_период</vt:lpstr>
      <vt:lpstr>факт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Салостей С.В.</dc:creator>
  <cp:lastModifiedBy>klenova</cp:lastModifiedBy>
  <cp:lastPrinted>2014-02-20T07:53:53Z</cp:lastPrinted>
  <dcterms:created xsi:type="dcterms:W3CDTF">2014-02-19T02:03:11Z</dcterms:created>
  <dcterms:modified xsi:type="dcterms:W3CDTF">2017-09-11T12:59:00Z</dcterms:modified>
</cp:coreProperties>
</file>